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4"/>
  </bookViews>
  <sheets>
    <sheet name="96 CĐ r" sheetId="1" r:id="rId1"/>
    <sheet name="97 thu r" sheetId="2" r:id="rId2"/>
    <sheet name="98 chi r" sheetId="3" r:id="rId3"/>
    <sheet name="99 chi cap huyen" sheetId="4" r:id="rId4"/>
    <sheet name="100 chi tung ĐV" sheetId="5" r:id="rId5"/>
    <sheet name="101 BS xã" sheetId="6" r:id="rId6"/>
    <sheet name="00000000" sheetId="7" state="veryHidden" r:id="rId7"/>
    <sheet name="102 CT MTQG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Fill" hidden="1">#REF!</definedName>
    <definedName name="bangmaTK">#REF!</definedName>
    <definedName name="hmkpduocpp">#REF!</definedName>
    <definedName name="muc1">'[1]CHD 1'!#REF!</definedName>
    <definedName name="Mucgoc">#REF!</definedName>
    <definedName name="ngaychungtutheodoi">#REF!</definedName>
    <definedName name="Ngayctgoc">#REF!</definedName>
    <definedName name="nhatkychung">#REF!</definedName>
    <definedName name="Noidunggoc">#REF!</definedName>
    <definedName name="_xlnm.Print_Titles" localSheetId="4">'100 chi tung ĐV'!$5:$7</definedName>
    <definedName name="_xlnm.Print_Titles" localSheetId="7">'102 CT MTQG'!$5:$8</definedName>
    <definedName name="_xlnm.Print_Titles" localSheetId="1">'97 thu r'!$5:$5</definedName>
    <definedName name="_xlnm.Print_Titles" localSheetId="3">'99 chi cap huyen'!$5:$5</definedName>
    <definedName name="Soctgoc">#REF!</definedName>
    <definedName name="Sotiengoc">#REF!</definedName>
    <definedName name="TaxTV">10%</definedName>
    <definedName name="TaxXL">5%</definedName>
    <definedName name="Tieumucgoc">#REF!</definedName>
    <definedName name="TKcogoc">#REF!</definedName>
    <definedName name="TKnogoc">#REF!</definedName>
    <definedName name="tonghopthu">#REF!</definedName>
    <definedName name="Vlogoc">#REF!</definedName>
    <definedName name="vlookup">#REF!</definedName>
    <definedName name="vlookup1">#REF!</definedName>
  </definedNames>
  <calcPr fullCalcOnLoad="1"/>
</workbook>
</file>

<file path=xl/comments5.xml><?xml version="1.0" encoding="utf-8"?>
<comments xmlns="http://schemas.openxmlformats.org/spreadsheetml/2006/main">
  <authors>
    <author>MAYTINH</author>
  </authors>
  <commentList>
    <comment ref="E6" authorId="0">
      <text>
        <r>
          <rPr>
            <b/>
            <sz val="9"/>
            <rFont val="Tahoma"/>
            <family val="2"/>
          </rPr>
          <t>MAYTINH:</t>
        </r>
        <r>
          <rPr>
            <sz val="9"/>
            <rFont val="Tahoma"/>
            <family val="2"/>
          </rPr>
          <t xml:space="preserve">
DT đầu năm, BS trong năm đã trừ tiết kiệm chi</t>
        </r>
      </text>
    </comment>
    <comment ref="H83" authorId="0">
      <text>
        <r>
          <rPr>
            <b/>
            <sz val="9"/>
            <rFont val="Tahoma"/>
            <family val="2"/>
          </rPr>
          <t>MAYTINH: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<sst xmlns="http://schemas.openxmlformats.org/spreadsheetml/2006/main" count="504" uniqueCount="329">
  <si>
    <t>A</t>
  </si>
  <si>
    <t>I</t>
  </si>
  <si>
    <t>II</t>
  </si>
  <si>
    <t>B</t>
  </si>
  <si>
    <t>Số TT</t>
  </si>
  <si>
    <t xml:space="preserve">CHỈ TIÊU </t>
  </si>
  <si>
    <t>Thu bổ sung từ ngân sách cấp tỉnh</t>
  </si>
  <si>
    <t>Thu kết dư ngân sách năm trước</t>
  </si>
  <si>
    <t>Các khoản thu để lại đơn vị chi quản lý qua NSNN</t>
  </si>
  <si>
    <t>Chi bằng nguồn thu để lại đơn vị chi quản lý qua NSNN</t>
  </si>
  <si>
    <t xml:space="preserve"> -</t>
  </si>
  <si>
    <t>III</t>
  </si>
  <si>
    <t xml:space="preserve">Thu ngân sách huyện </t>
  </si>
  <si>
    <t xml:space="preserve">Thu ngân sách huyện hưởng theo phân cấp </t>
  </si>
  <si>
    <t xml:space="preserve">Chi ngân sách huyện </t>
  </si>
  <si>
    <t>Các khoản thu phân chia ngân sách huyện hưởng theo tỷ lệ  %</t>
  </si>
  <si>
    <t>Các khoản thu ngân sách huyện hưởng 100%</t>
  </si>
  <si>
    <t>ĐVT: 1.000đ</t>
  </si>
  <si>
    <t>Chi thường xuyên</t>
  </si>
  <si>
    <t>Chi khác ngân sách</t>
  </si>
  <si>
    <t>Chi sự nghiệp kinh tế và KTTC</t>
  </si>
  <si>
    <t>Thuế ngoài quốc doanh</t>
  </si>
  <si>
    <t>1.1</t>
  </si>
  <si>
    <t>1.2</t>
  </si>
  <si>
    <t xml:space="preserve">Thuế các DNTN </t>
  </si>
  <si>
    <t>1.3</t>
  </si>
  <si>
    <t>IV</t>
  </si>
  <si>
    <t xml:space="preserve">Chi đầu tư từ nguồn thu cấp QSD đất </t>
  </si>
  <si>
    <t>Chi sự nghiệp văn xã</t>
  </si>
  <si>
    <t>Chi quản lý hành chính</t>
  </si>
  <si>
    <t>Chi nhiệm vụ an ninh-quốc phòng</t>
  </si>
  <si>
    <t xml:space="preserve">Trong đó: Sự nghiệp giáo dục           </t>
  </si>
  <si>
    <t>Tên đơn vị</t>
  </si>
  <si>
    <t>Tổng số</t>
  </si>
  <si>
    <t>Chi đầu tư XDCB</t>
  </si>
  <si>
    <t>Tổng cộng</t>
  </si>
  <si>
    <t>Thuế VAT+TNDN các DN huyện thu</t>
  </si>
  <si>
    <t>Thu khác ngân sách huyện</t>
  </si>
  <si>
    <t>Thuế kinh tế tập thể, hộ cá thể</t>
  </si>
  <si>
    <t>-</t>
  </si>
  <si>
    <t>Thuế các DNTN</t>
  </si>
  <si>
    <t>Thuế VAT+TNDN DN Tỉnh thu</t>
  </si>
  <si>
    <t>Lệ phí trước bạ</t>
  </si>
  <si>
    <t>Lệ phí trước bạ nhà đất</t>
  </si>
  <si>
    <t>Thu phí, lệ phí huyện, xã</t>
  </si>
  <si>
    <t>Thu tiền thuê mặt đất, mặt nước</t>
  </si>
  <si>
    <t>Thu thường xuyên ngân sách xã</t>
  </si>
  <si>
    <t>Thu kết dư ngân sách</t>
  </si>
  <si>
    <t>Thuế DN hỗn hợp (Cổ phần, TNHH)</t>
  </si>
  <si>
    <t>Thuế các DN hỗn hợp (Cổ phần, TNHH)</t>
  </si>
  <si>
    <t>Sự nghiệp kiến thiết thị chính</t>
  </si>
  <si>
    <t>V</t>
  </si>
  <si>
    <t>Xã Vinh Hưng</t>
  </si>
  <si>
    <t>TT Phú Lộc</t>
  </si>
  <si>
    <t>Xã Lộc Bình</t>
  </si>
  <si>
    <t>Xã Lộc Vĩnh</t>
  </si>
  <si>
    <t>TT Lăng Cô</t>
  </si>
  <si>
    <t>Thuế thu nhập cá nhân huyện thu</t>
  </si>
  <si>
    <t>Thuế thu nhập cá nhân tỉnh thu</t>
  </si>
  <si>
    <t>Thuế sử dụng đất phi nông nghiệp</t>
  </si>
  <si>
    <t>Đvt: 1.000đ</t>
  </si>
  <si>
    <t>Thu chuyển nguồn</t>
  </si>
  <si>
    <t xml:space="preserve">Chi đầu tư phát triển </t>
  </si>
  <si>
    <t>Chi nộp ngân sách cấp trên</t>
  </si>
  <si>
    <t>Phụ lục:</t>
  </si>
  <si>
    <t>Thuế VAT+TNDN+khác</t>
  </si>
  <si>
    <t>Thu đóng góp xây dựng cơ sở hạ tầng</t>
  </si>
  <si>
    <t>Thu bổ sung từ ngân sách tỉnh</t>
  </si>
  <si>
    <t>C</t>
  </si>
  <si>
    <t>TỔNG CỘNG (A+B+C)</t>
  </si>
  <si>
    <t>Tổng thu ngân sách nhà nước trên địa bàn</t>
  </si>
  <si>
    <t>Sự nghiệp môi trường</t>
  </si>
  <si>
    <t>Sự nghiệp kinh tế khác</t>
  </si>
  <si>
    <t>Chi bổ sung ngân sách cấp dưới</t>
  </si>
  <si>
    <t>Xã Lộc Bổn</t>
  </si>
  <si>
    <t>Xã Lộc Sơn</t>
  </si>
  <si>
    <t>Xã Xuân Lộc</t>
  </si>
  <si>
    <t>Xã Lộc An</t>
  </si>
  <si>
    <t>Xã Lộc Điền</t>
  </si>
  <si>
    <t>Xã Lộc Hoà</t>
  </si>
  <si>
    <t>Xã Lộc Trì</t>
  </si>
  <si>
    <t>Xã Lộc Thuỷ</t>
  </si>
  <si>
    <t>Xã Lộc Tiến</t>
  </si>
  <si>
    <t>Xã Vinh Mỹ</t>
  </si>
  <si>
    <t>Xã Vinh Hiền</t>
  </si>
  <si>
    <t>Thuế XNK; thu các DNNN; thu NST,TW hưởng 100%</t>
  </si>
  <si>
    <t>Biểu số 96/CK-NSNN</t>
  </si>
  <si>
    <t>Thu bổ sung cân đối</t>
  </si>
  <si>
    <t>Thu bổ sung có mục tiêu</t>
  </si>
  <si>
    <t>Chi cân đối ngân sách huyện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</si>
  <si>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</si>
  <si>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</si>
  <si>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</si>
  <si>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</si>
  <si>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Số tt</t>
  </si>
  <si>
    <t xml:space="preserve">Chỉ tiêu </t>
  </si>
  <si>
    <t>Dự toán</t>
  </si>
  <si>
    <t>Quyết toán</t>
  </si>
  <si>
    <t>Tổng thu NSNN</t>
  </si>
  <si>
    <t>Thu NS huyện</t>
  </si>
  <si>
    <t>So sánh (%)</t>
  </si>
  <si>
    <t>Biểu số 97/CK-NSNN</t>
  </si>
  <si>
    <t>Chỉ tiêu</t>
  </si>
  <si>
    <t>Bao gồm</t>
  </si>
  <si>
    <t xml:space="preserve">NS cấp huyện </t>
  </si>
  <si>
    <t>NS cấp xã</t>
  </si>
  <si>
    <t xml:space="preserve"> %QT so DT</t>
  </si>
  <si>
    <t>Biểu số 98/CK-NSNN</t>
  </si>
  <si>
    <t>Biểu số 99/CK-NSNN</t>
  </si>
  <si>
    <t>Biểu số 100/CK-NSNN</t>
  </si>
  <si>
    <t>Chi đầu tư phát triển (không kể CTMTQG)</t>
  </si>
  <si>
    <t xml:space="preserve">Tổng số </t>
  </si>
  <si>
    <t>Chi chương trình MTQG</t>
  </si>
  <si>
    <t>Chi đầu tư phát triển</t>
  </si>
  <si>
    <t>Biểu số 101/CK-NSNN</t>
  </si>
  <si>
    <t>Bổ sung cân đối</t>
  </si>
  <si>
    <t>Bổ sung có mục tiêu</t>
  </si>
  <si>
    <t>Bổ sung mục tiêu các CT mục tiêu</t>
  </si>
  <si>
    <t>Bổ sung các chính sách chế độ</t>
  </si>
  <si>
    <t>Bổ sung các chương trình MTQG</t>
  </si>
  <si>
    <t>Ngân sách cấp huyện</t>
  </si>
  <si>
    <t>Biểu số 102/CK-NSNN</t>
  </si>
  <si>
    <t>Trong đó</t>
  </si>
  <si>
    <t xml:space="preserve">Đầu tư phát triển </t>
  </si>
  <si>
    <t>Chi sự nghiệp</t>
  </si>
  <si>
    <t>Chương trình MTQG</t>
  </si>
  <si>
    <t>Vốn trong nước</t>
  </si>
  <si>
    <t>Vốn ngoài nước</t>
  </si>
  <si>
    <t>Ngân sách cấp xã</t>
  </si>
  <si>
    <t>Thu nộp trả NS cấp dưới</t>
  </si>
  <si>
    <t>Thu khoản trả ngân sách cấp dưới</t>
  </si>
  <si>
    <t>Lệ phí trước bạ phương tiện giao thông</t>
  </si>
  <si>
    <t>Chi dự phòng ngân sách</t>
  </si>
  <si>
    <t>CHI CÁC CHƯƠNG TRÌNH MỤC TIÊU</t>
  </si>
  <si>
    <t>CHI CHUYỂN NGUỒN SANG NĂM SAU</t>
  </si>
  <si>
    <t xml:space="preserve">CHI CÂN ĐỐI NGÂN SÁCH </t>
  </si>
  <si>
    <t>UBND xã Lộc Trì</t>
  </si>
  <si>
    <t>Phòng NN&amp;PTNT</t>
  </si>
  <si>
    <t>UBND xã Lộc Vĩnh</t>
  </si>
  <si>
    <t>UBND xã Vinh Hiền</t>
  </si>
  <si>
    <t>UBND xã Vinh Mỹ</t>
  </si>
  <si>
    <t>UBND xã Xuân Lộc</t>
  </si>
  <si>
    <t xml:space="preserve">ĐVT: triệu đồng </t>
  </si>
  <si>
    <t>UBND xã Lộc An</t>
  </si>
  <si>
    <t>Thu cấp quyền khai thác khoáng sản</t>
  </si>
  <si>
    <t>UBND xã Lộc Tiến</t>
  </si>
  <si>
    <t>Thu cấp quyền sử dụng đất</t>
  </si>
  <si>
    <t>Các khoản thu quản lý qua KBNN</t>
  </si>
  <si>
    <t>Phí, lệ phí huyện hưởng 100%</t>
  </si>
  <si>
    <t>Phí, lệ phí tỉnh hưởng 100%</t>
  </si>
  <si>
    <t>Phí, lệ phí xã hưởng 100%</t>
  </si>
  <si>
    <t>Phí môn bài</t>
  </si>
  <si>
    <t>Hoa lợi công sản</t>
  </si>
  <si>
    <t>Thu 5% quỹ đất</t>
  </si>
  <si>
    <t>UBND xã Lộc Hòa</t>
  </si>
  <si>
    <t>UBND xã Lộc Thủy</t>
  </si>
  <si>
    <t xml:space="preserve">Cấp huyện </t>
  </si>
  <si>
    <t>Cấp xã, TT</t>
  </si>
  <si>
    <t>Thu khác tỉnh, TW hưởng 100%</t>
  </si>
  <si>
    <t>Thu khác huyện hưởng 100%</t>
  </si>
  <si>
    <t>Thu khác xã hưởng 100%</t>
  </si>
  <si>
    <t>Thu hồi các khoản chi năm trước</t>
  </si>
  <si>
    <t>Thu thanh lý , tịch thu, thuê nhà ở</t>
  </si>
  <si>
    <t xml:space="preserve">Thu phạt ATGT </t>
  </si>
  <si>
    <t>Thu phạt khác</t>
  </si>
  <si>
    <t>Tổng thu cân đối ngân sách</t>
  </si>
  <si>
    <t>Ban hành kèm theo Quyết định số        /QĐ-UBND ngày       tháng 8 năm 2021 của UBND huyện</t>
  </si>
  <si>
    <t>UBND TT Phú Lộc</t>
  </si>
  <si>
    <t>UBND xã Lộc Bổn</t>
  </si>
  <si>
    <t>UBND xã Lộc Điền</t>
  </si>
  <si>
    <t>UBND xã Lộc Sơn</t>
  </si>
  <si>
    <t>UBND xã Giang Hải</t>
  </si>
  <si>
    <t>UBND xã Vinh Hưng</t>
  </si>
  <si>
    <t>Ban QLDA ĐTXD khu vực</t>
  </si>
  <si>
    <t>Đội Quản lý Đô thị</t>
  </si>
  <si>
    <t>Phòng Kinh tế và Hạ tầng</t>
  </si>
  <si>
    <t>Tr.TH&amp;THCS Bến Ván</t>
  </si>
  <si>
    <t>Tr.TH&amp;THCS Lộc Hòa</t>
  </si>
  <si>
    <t>Tr.TH&amp;THCS Lộc Bình</t>
  </si>
  <si>
    <t>Tr.TH&amp;THCS Xuân Lộc</t>
  </si>
  <si>
    <t>Tr.TH&amp;THCS L.M.Quang</t>
  </si>
  <si>
    <t>Trường TH An Nong 1</t>
  </si>
  <si>
    <t>Trường TH An Nong 2</t>
  </si>
  <si>
    <t>Trường TH Lộc Sơn 1</t>
  </si>
  <si>
    <t>Trường TH Lộc Sơn 2</t>
  </si>
  <si>
    <t>Trường TH Trần Tiến Lực</t>
  </si>
  <si>
    <t>Trường TH Đại Thành</t>
  </si>
  <si>
    <t>Tr.TH An Lương Đông</t>
  </si>
  <si>
    <t>Trường TH Trung Chánh</t>
  </si>
  <si>
    <t>Trường TH Phú Thạch</t>
  </si>
  <si>
    <t>Trường TH Thị Trấn 1</t>
  </si>
  <si>
    <t>Trường TH Thị Trấn PL(2)</t>
  </si>
  <si>
    <t>Trường TH số 1 Lộc Trì</t>
  </si>
  <si>
    <t>Trường TH số 2 Lộc Trì</t>
  </si>
  <si>
    <t>Trường TH Nước Ngọt 1</t>
  </si>
  <si>
    <t>Trường TH Nước Ngọt 2</t>
  </si>
  <si>
    <t>Trường TH Lộc Tiến</t>
  </si>
  <si>
    <t>Trường TH Bình An</t>
  </si>
  <si>
    <t>Trường TH Lăng Cô</t>
  </si>
  <si>
    <t>Trường TH Vinh Hiền</t>
  </si>
  <si>
    <t>Trường TH Vinh Giang</t>
  </si>
  <si>
    <t>Trường TH Vinh Hưng 1</t>
  </si>
  <si>
    <t>Trường TH Vinh Hưng 2</t>
  </si>
  <si>
    <t xml:space="preserve">Trường THCS Lộc Bổn </t>
  </si>
  <si>
    <t>Trường THCS Lộc Sơn</t>
  </si>
  <si>
    <t>Trường THCS Lộc An</t>
  </si>
  <si>
    <t>Trường THCS Lộc Điền</t>
  </si>
  <si>
    <t>Trường THCS TT Phú Lộc</t>
  </si>
  <si>
    <t>Trường THCS Lộc Trì</t>
  </si>
  <si>
    <t>Trường THCS Lộc Thuỷ</t>
  </si>
  <si>
    <t>Trường THCS Lộc Vĩnh</t>
  </si>
  <si>
    <t>Trường THCS Lộc Tiến</t>
  </si>
  <si>
    <t>Trường THCS Lăng Cô</t>
  </si>
  <si>
    <t>Trường THCS Vinh Hiền</t>
  </si>
  <si>
    <t>Trường THCS Vinh Giang</t>
  </si>
  <si>
    <t>Trường THCS Vinh Hưng</t>
  </si>
  <si>
    <t>Hội  Khuyến tật</t>
  </si>
  <si>
    <t>Hội  Luật gia</t>
  </si>
  <si>
    <t>Hội  người cao tuổi</t>
  </si>
  <si>
    <t xml:space="preserve">Hội chất độc da cam/Dioxin </t>
  </si>
  <si>
    <t>Hội Chữ thập đỏ</t>
  </si>
  <si>
    <t>Hội Khuyến học</t>
  </si>
  <si>
    <t>Hội Người mù</t>
  </si>
  <si>
    <t>Hội Thanh niên xung phong</t>
  </si>
  <si>
    <t>Hội tù yêu nước</t>
  </si>
  <si>
    <t>Ngân hàng CSXH</t>
  </si>
  <si>
    <t>Phòng Lao động, TB&amp;XH</t>
  </si>
  <si>
    <t>Phòng Tư Pháp</t>
  </si>
  <si>
    <t>Phòng Y tế huyện</t>
  </si>
  <si>
    <t xml:space="preserve">Văn phòng HĐND&amp;UBND </t>
  </si>
  <si>
    <t>Thanh tra huyện</t>
  </si>
  <si>
    <t>Phòng VHTT</t>
  </si>
  <si>
    <t>Đoàn TNCS Hồ Chí Minh</t>
  </si>
  <si>
    <t>Hội Nông dân</t>
  </si>
  <si>
    <t>Hội Phụ nữ</t>
  </si>
  <si>
    <t>Hội Cựu chiến binh</t>
  </si>
  <si>
    <t xml:space="preserve">Uỷ ban Mặt trận tổ quốc </t>
  </si>
  <si>
    <t>Công an huyện Phú Lộc</t>
  </si>
  <si>
    <t>Đồn BP cửa khẩu Chân Mây</t>
  </si>
  <si>
    <t>Đại đội C1 cơ động L. Cô</t>
  </si>
  <si>
    <t>Đồn BP 236 Lăng Cô</t>
  </si>
  <si>
    <t>Đồn BP 228 Vinh Hiền</t>
  </si>
  <si>
    <t>Toà án nhân dân huyện</t>
  </si>
  <si>
    <t>Viện kiểm sát nhân dân huyện</t>
  </si>
  <si>
    <t xml:space="preserve">Chị cục thuế huyện Phú Lộc </t>
  </si>
  <si>
    <t>KBNN huyện Phú Lộc</t>
  </si>
  <si>
    <t>Chi cục Thống kê huyện</t>
  </si>
  <si>
    <t>Chi cục thi hành án huyện</t>
  </si>
  <si>
    <t>Trung tâm Y tế huyện</t>
  </si>
  <si>
    <t>Phòng Tài chính-KH (nộp NS cấp trên)</t>
  </si>
  <si>
    <t>Phòng Tài chính-KH (chi chuyển nguồn cấp 0)</t>
  </si>
  <si>
    <t>Các HTX thành lập mới</t>
  </si>
  <si>
    <t>ĐVT: Ngàn đồng</t>
  </si>
  <si>
    <t xml:space="preserve">Xã Giang Hải </t>
  </si>
  <si>
    <t xml:space="preserve">UBND xã Vinh Hưng </t>
  </si>
  <si>
    <t xml:space="preserve">Xuân Lộc </t>
  </si>
  <si>
    <t>Lộc An</t>
  </si>
  <si>
    <t xml:space="preserve">Lộc Bình </t>
  </si>
  <si>
    <t>Vinh Hưng</t>
  </si>
  <si>
    <t>Vinh Hiền</t>
  </si>
  <si>
    <t>CÂN ĐỐI QUYẾT TOÁN NGÂN SÁCH HUYỆN PHÚ LỘC NĂM 2021</t>
  </si>
  <si>
    <t>Ban hành kèm theo Quyết định số  2572   /QĐ-UBND ngày 20 tháng 8 năm 2022 của UBND huyện</t>
  </si>
  <si>
    <t>DỰ TOÁN 
NĂM 2021</t>
  </si>
  <si>
    <t>QUYẾT TOÁN 
NĂM 2021</t>
  </si>
  <si>
    <t>Thu hỗ trợ khi nhà nước thu hồi đất</t>
  </si>
  <si>
    <t>QUYẾT TOÁN CHI NGÂN SÁCH NHÀ NƯỚC TRÊN ĐỊA BÀN HUYỆN NĂM 2021</t>
  </si>
  <si>
    <t>QUYẾT TOÁN CHI BỔ SUNG TỪ NGÂN SÁCH CẤP HUYỆN CHO NGÂN SÁCH CẤP XÃ NĂM 2021</t>
  </si>
  <si>
    <t>Chi đầu tư phát triển</t>
  </si>
  <si>
    <t>Chi từ vốn sự nghiệp</t>
  </si>
  <si>
    <t>Sự nghiệp nông nghiệp&amp;PTNT</t>
  </si>
  <si>
    <t>Sự nghiệp giao thông</t>
  </si>
  <si>
    <t>Chi sự nghiệp KHCN</t>
  </si>
  <si>
    <t>Chi sự nghiệp khuyến công, TTCN, thương mại</t>
  </si>
  <si>
    <t xml:space="preserve">Trong đó: Sự nghiệp giáo dục, đào tạo          </t>
  </si>
  <si>
    <t>Chi từ nguồn thu quỹ đất</t>
  </si>
  <si>
    <t>Chi đầu tư phát triển (nguồn quỹ đất, sự nghiệp có tính chất đầu tư)</t>
  </si>
  <si>
    <t>Chi đầu tư từ nguồn thu cấp QSD đất</t>
  </si>
  <si>
    <t xml:space="preserve"> Lộc Thủy</t>
  </si>
  <si>
    <t xml:space="preserve"> Lộc Điền</t>
  </si>
  <si>
    <t>TT</t>
  </si>
  <si>
    <t>ĐVT: 1000,đồng</t>
  </si>
  <si>
    <t>QUYẾT TOÁN CHI CHƯƠNG TRÌNH MỤC TIÊU QUỐC GIA NGÂN SÁCH CẤP HUYỆN VÀ NGÂN SÁCH CẤP XÃ NĂM 2021</t>
  </si>
  <si>
    <t>Phòng Nội vụ huyện</t>
  </si>
  <si>
    <t>Phòng Tài nguyên&amp; MT</t>
  </si>
  <si>
    <t>Phòng Tài chính-KH</t>
  </si>
  <si>
    <t>Phòng NN &amp; PTNT huyện</t>
  </si>
  <si>
    <t xml:space="preserve">Phòng Giáo dục&amp; Đào tạo </t>
  </si>
  <si>
    <t>Văn phòng Huyện ủy Phú Lộc</t>
  </si>
  <si>
    <t>Trường MN Hưng Lộc</t>
  </si>
  <si>
    <t>Trường MN Lộc Sơn</t>
  </si>
  <si>
    <t>Trường MN Tiến Lực</t>
  </si>
  <si>
    <t>Trường MN Đại Thành</t>
  </si>
  <si>
    <t>Trường MN Hoa Hồng</t>
  </si>
  <si>
    <t>Trường MN Hoa Mai</t>
  </si>
  <si>
    <t>Trường MN Bắc Hà</t>
  </si>
  <si>
    <t>Trường MN Sao Mai</t>
  </si>
  <si>
    <t>Trường MN Lộc Thủy</t>
  </si>
  <si>
    <t>Trường MN Lộc Tiến</t>
  </si>
  <si>
    <t>Trường MN Lộc Vĩnh</t>
  </si>
  <si>
    <t>Trường MN Lăng Cô</t>
  </si>
  <si>
    <t>Trường MN Vinh Hiền</t>
  </si>
  <si>
    <t>Trường MN Vinh Hải</t>
  </si>
  <si>
    <t>Trường MN Vinh Mỹ</t>
  </si>
  <si>
    <t>Trường MN Hương Mai</t>
  </si>
  <si>
    <t>Trường MN Lộc Hòa</t>
  </si>
  <si>
    <t>Trường MN Xuân Lộc</t>
  </si>
  <si>
    <t>Trường MN Hoa Anh Đào</t>
  </si>
  <si>
    <t>Trường MN Lộc Bình</t>
  </si>
  <si>
    <t>Trường MN Hưng Thuận</t>
  </si>
  <si>
    <t>Trung tâm GDNN-GDTX huyện</t>
  </si>
  <si>
    <t>Trung tâm VHTT và Thể thao</t>
  </si>
  <si>
    <t>Trung tâm Bồi dưỡng chính trị</t>
  </si>
  <si>
    <t>TT Dịch vụ Nông nghiệp</t>
  </si>
  <si>
    <t xml:space="preserve">Trung tâm phát triển quỹ đất </t>
  </si>
  <si>
    <t xml:space="preserve">UBND xã Lộc Bình </t>
  </si>
  <si>
    <t>UBND thị trấn Lăng Cô</t>
  </si>
  <si>
    <t>Tiền điện hộ nghèo, hộ chính sách cấp lệnh chi các xã, TT</t>
  </si>
  <si>
    <t>Các HTX nông nghiệp (kinh phí miễn giảm thuỷ lợi phí)</t>
  </si>
  <si>
    <t>Ban Chỉ huy quân sự huyện</t>
  </si>
  <si>
    <t>Chi nhánh VP đăng ký QSD đất</t>
  </si>
  <si>
    <t>BQLDA HTKT KTĐC T.T.Đạo</t>
  </si>
  <si>
    <t>QUYẾT TOÁN CHI NGÂN SÁCH CẤP HUYỆN CHO TỪNG CƠ QUAN, ĐƠN VỊ NĂM 2021</t>
  </si>
  <si>
    <t>QUYẾT TOÁN THU NGÂN SÁCH NHÀ NƯỚC TRÊN ĐỊA BÀN HUYỆN NĂM 2021</t>
  </si>
  <si>
    <t>QUYẾT TOÁN CHI NGÂN SÁCH CẤP HUYỆN THEO TƯNG LĨNH VỰC NĂM 2021</t>
  </si>
  <si>
    <t>Ban hành kèm theo Quyết định số 2416/QĐ-UBND ngày  10  tháng 8 năm 2022 của UBND huyện</t>
  </si>
  <si>
    <t>Ban hành kèm theo Quyết định số 2416  /QĐ-UBND ngày 10 tháng 8 năm 2022 của UBND huyện</t>
  </si>
  <si>
    <t>Ban hành kèm theo Quyết định số 2416 /QĐ-UBND ngày  10  tháng 8 năm 2022 của UBND huyện</t>
  </si>
  <si>
    <t>Ban hành kèm theo Quyết định số   2416/QĐ-UBND ngày  10 tháng 8 năm 2021 của UBND huyện</t>
  </si>
  <si>
    <t>Ban hành kèm theo Quyết định số 2416 /QĐ-UBND ngày 10  tháng 8 năm 2022 của UBND huyện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</si>
</sst>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_(* #,##0_);_(* \(#,##0\);_(* &quot;-&quot;??_);_(@_)"/>
    <numFmt numFmtId="195" formatCode="_ * #,##0_ ;_ * \-#,##0_ ;_ * &quot;-&quot;_ ;_ @_ "/>
    <numFmt numFmtId="196" formatCode="\$#,##0\ ;\(\$#,##0\)"/>
    <numFmt numFmtId="197" formatCode="&quot;VND&quot;#,##0_);[Red]\(&quot;VND&quot;#,##0\)"/>
    <numFmt numFmtId="198" formatCode="&quot;\&quot;#,##0;[Red]&quot;\&quot;\-#,##0"/>
    <numFmt numFmtId="199" formatCode="&quot;\&quot;#,##0.00;[Red]&quot;\&quot;\-#,##0.00"/>
    <numFmt numFmtId="200" formatCode="&quot;\&quot;#,##0;[Red]&quot;\&quot;&quot;\&quot;\-#,##0"/>
    <numFmt numFmtId="201" formatCode="&quot;\&quot;#,##0.00;[Red]&quot;\&quot;&quot;\&quot;&quot;\&quot;&quot;\&quot;&quot;\&quot;&quot;\&quot;\-#,##0.00"/>
    <numFmt numFmtId="202" formatCode="#.##"/>
    <numFmt numFmtId="203" formatCode="#.#"/>
    <numFmt numFmtId="204" formatCode="#"/>
    <numFmt numFmtId="205" formatCode="_ * #,##0.0_)\ _$_ ;_ * \(#,##0.0\)\ _$_ ;_ * &quot;-&quot;??_)\ _$_ ;_ @_ "/>
    <numFmt numFmtId="206" formatCode="_ * #.##0.0_)\ _$_ ;_ * \(#.##0.0\)\ _$_ ;_ * &quot;-&quot;??_)\ _$_ ;_ @_ "/>
    <numFmt numFmtId="207" formatCode="_ * #.##0._)\ _$_ ;_ * \(#.##0.\)\ _$_ ;_ * &quot;-&quot;??_)\ _$_ ;_ @_ "/>
    <numFmt numFmtId="208" formatCode="_ * #.##._)\ _$_ ;_ * \(#.##.\)\ _$_ ;_ * &quot;-&quot;??_)\ _$_ ;_ @_ⴆ"/>
    <numFmt numFmtId="209" formatCode="_ * #,##0_)\ _$_ ;_ * \(#,##0\)\ _$_ ;_ * &quot;-&quot;??_)\ _$_ ;_ @_ "/>
    <numFmt numFmtId="210" formatCode="_ * #,##0.000_)\ _$_ ;_ * \(#,##0.000\)\ _$_ ;_ * &quot;-&quot;??_)\ _$_ ;_ @_ "/>
    <numFmt numFmtId="211" formatCode="0.000000"/>
    <numFmt numFmtId="212" formatCode="0.00000"/>
    <numFmt numFmtId="213" formatCode="0.0000"/>
    <numFmt numFmtId="214" formatCode="0.000"/>
    <numFmt numFmtId="215" formatCode="0.0000000"/>
    <numFmt numFmtId="216" formatCode="0.0"/>
    <numFmt numFmtId="217" formatCode="_(* #,##0.0_);_(* \(#,##0.0\);_(* &quot;-&quot;??_);_(@_)"/>
    <numFmt numFmtId="218" formatCode="#,##0.0"/>
    <numFmt numFmtId="219" formatCode="#,##0\ _$"/>
    <numFmt numFmtId="220" formatCode="#,##0.000"/>
    <numFmt numFmtId="221" formatCode="#,##0.0000"/>
    <numFmt numFmtId="222" formatCode="#,##0.00000"/>
    <numFmt numFmtId="223" formatCode="_(* #,##0.000_);_(* \(#,##0.000\);_(* &quot;-&quot;??_);_(@_)"/>
    <numFmt numFmtId="224" formatCode="_(* #,##0.0000_);_(* \(#,##0.0000\);_(* &quot;-&quot;??_);_(@_)"/>
    <numFmt numFmtId="225" formatCode="_-* #,##0_-;\-* #,##0_-;_-* &quot;-&quot;??_-;_-@_-"/>
    <numFmt numFmtId="226" formatCode="_(* #,##0.00000_);_(* \(#,##0.00000\);_(* &quot;-&quot;??_);_(@_)"/>
    <numFmt numFmtId="227" formatCode="_(* #,##0.000_);_(* \(#,##0.000\);_(* &quot;-&quot;???_);_(@_)"/>
  </numFmts>
  <fonts count="67">
    <font>
      <sz val="12"/>
      <name val="VNtimes new roman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VNtimes new roman"/>
      <family val="0"/>
    </font>
    <font>
      <b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"/>
      <family val="1"/>
    </font>
    <font>
      <sz val="11"/>
      <name val="??"/>
      <family val="3"/>
    </font>
    <font>
      <sz val="10"/>
      <name val="???"/>
      <family val="3"/>
    </font>
    <font>
      <sz val="12"/>
      <name val="¹UAAA¼"/>
      <family val="3"/>
    </font>
    <font>
      <u val="single"/>
      <sz val="9"/>
      <color indexed="36"/>
      <name val="VN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VNtimes new roman"/>
      <family val="2"/>
    </font>
    <font>
      <sz val="10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0"/>
    </font>
    <font>
      <b/>
      <sz val="13"/>
      <name val="VNtimes new roman"/>
      <family val="2"/>
    </font>
    <font>
      <i/>
      <sz val="13"/>
      <name val="VNtimes new roman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VN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195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4" fillId="2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4" applyNumberFormat="0" applyFill="0" applyAlignment="0" applyProtection="0"/>
    <xf numFmtId="0" fontId="62" fillId="31" borderId="0" applyNumberFormat="0" applyBorder="0" applyAlignment="0" applyProtection="0"/>
    <xf numFmtId="197" fontId="20" fillId="0" borderId="0">
      <alignment/>
      <protection/>
    </xf>
    <xf numFmtId="0" fontId="0" fillId="32" borderId="5" applyNumberFormat="0" applyFont="0" applyAlignment="0" applyProtection="0"/>
    <xf numFmtId="0" fontId="63" fillId="27" borderId="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7" applyNumberFormat="0" applyFont="0" applyFill="0" applyAlignment="0" applyProtection="0"/>
    <xf numFmtId="0" fontId="65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2" fillId="0" borderId="0">
      <alignment/>
      <protection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24" fillId="0" borderId="0">
      <alignment/>
      <protection/>
    </xf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22" applyFont="1" applyFill="1">
      <alignment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94" fontId="1" fillId="0" borderId="0" xfId="56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94" fontId="5" fillId="0" borderId="8" xfId="56" applyNumberFormat="1" applyFont="1" applyBorder="1" applyAlignment="1">
      <alignment horizontal="center" vertical="center" wrapText="1"/>
    </xf>
    <xf numFmtId="194" fontId="26" fillId="0" borderId="8" xfId="56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94" fontId="26" fillId="0" borderId="8" xfId="56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8" xfId="0" applyFont="1" applyBorder="1" applyAlignment="1" quotePrefix="1">
      <alignment horizontal="center" vertical="center" wrapText="1"/>
    </xf>
    <xf numFmtId="3" fontId="31" fillId="0" borderId="8" xfId="0" applyNumberFormat="1" applyFont="1" applyBorder="1" applyAlignment="1">
      <alignment horizontal="center" vertical="center" wrapText="1"/>
    </xf>
    <xf numFmtId="194" fontId="25" fillId="0" borderId="10" xfId="56" applyNumberFormat="1" applyFont="1" applyBorder="1" applyAlignment="1">
      <alignment horizontal="right" vertical="center" wrapText="1"/>
    </xf>
    <xf numFmtId="0" fontId="27" fillId="0" borderId="8" xfId="0" applyFont="1" applyFill="1" applyBorder="1" applyAlignment="1">
      <alignment horizontal="center" vertical="center" wrapText="1"/>
    </xf>
    <xf numFmtId="194" fontId="27" fillId="0" borderId="8" xfId="56" applyNumberFormat="1" applyFont="1" applyFill="1" applyBorder="1" applyAlignment="1">
      <alignment horizontal="right" vertical="center" wrapText="1"/>
    </xf>
    <xf numFmtId="194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94" fontId="7" fillId="0" borderId="0" xfId="56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8" xfId="0" applyFont="1" applyFill="1" applyBorder="1" applyAlignment="1">
      <alignment horizontal="left" vertical="center" wrapText="1"/>
    </xf>
    <xf numFmtId="194" fontId="8" fillId="0" borderId="8" xfId="56" applyNumberFormat="1" applyFont="1" applyFill="1" applyBorder="1" applyAlignment="1">
      <alignment vertical="center" wrapText="1"/>
    </xf>
    <xf numFmtId="194" fontId="6" fillId="0" borderId="8" xfId="56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194" fontId="29" fillId="0" borderId="8" xfId="56" applyNumberFormat="1" applyFont="1" applyFill="1" applyBorder="1" applyAlignment="1">
      <alignment vertical="center" wrapText="1"/>
    </xf>
    <xf numFmtId="194" fontId="28" fillId="0" borderId="8" xfId="56" applyNumberFormat="1" applyFont="1" applyFill="1" applyBorder="1" applyAlignment="1">
      <alignment vertical="center" wrapText="1"/>
    </xf>
    <xf numFmtId="194" fontId="6" fillId="0" borderId="8" xfId="56" applyNumberFormat="1" applyFont="1" applyBorder="1" applyAlignment="1">
      <alignment vertical="center" wrapText="1"/>
    </xf>
    <xf numFmtId="194" fontId="8" fillId="0" borderId="8" xfId="56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94" fontId="1" fillId="0" borderId="0" xfId="56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94" fontId="5" fillId="0" borderId="8" xfId="5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31" fillId="0" borderId="8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218" fontId="26" fillId="0" borderId="8" xfId="0" applyNumberFormat="1" applyFont="1" applyBorder="1" applyAlignment="1">
      <alignment vertical="center"/>
    </xf>
    <xf numFmtId="3" fontId="26" fillId="0" borderId="8" xfId="0" applyNumberFormat="1" applyFont="1" applyBorder="1" applyAlignment="1">
      <alignment vertical="center"/>
    </xf>
    <xf numFmtId="218" fontId="2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 quotePrefix="1">
      <alignment horizontal="center" vertical="center" wrapText="1"/>
    </xf>
    <xf numFmtId="194" fontId="2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94" fontId="27" fillId="0" borderId="8" xfId="56" applyNumberFormat="1" applyFont="1" applyFill="1" applyBorder="1" applyAlignment="1">
      <alignment horizontal="center" vertical="center" wrapText="1"/>
    </xf>
    <xf numFmtId="194" fontId="26" fillId="0" borderId="8" xfId="56" applyNumberFormat="1" applyFont="1" applyFill="1" applyBorder="1" applyAlignment="1">
      <alignment horizontal="center" vertical="center" wrapText="1"/>
    </xf>
    <xf numFmtId="194" fontId="1" fillId="0" borderId="0" xfId="56" applyNumberFormat="1" applyFont="1" applyFill="1" applyAlignment="1">
      <alignment horizontal="center" vertical="center" wrapText="1"/>
    </xf>
    <xf numFmtId="0" fontId="1" fillId="33" borderId="8" xfId="0" applyFont="1" applyFill="1" applyBorder="1" applyAlignment="1">
      <alignment vertical="center" wrapText="1"/>
    </xf>
    <xf numFmtId="194" fontId="29" fillId="0" borderId="0" xfId="0" applyNumberFormat="1" applyFont="1" applyFill="1" applyAlignment="1">
      <alignment horizontal="center" vertical="center" wrapText="1"/>
    </xf>
    <xf numFmtId="43" fontId="26" fillId="0" borderId="8" xfId="56" applyFont="1" applyBorder="1" applyAlignment="1">
      <alignment vertical="center"/>
    </xf>
    <xf numFmtId="3" fontId="5" fillId="0" borderId="8" xfId="0" applyNumberFormat="1" applyFont="1" applyFill="1" applyBorder="1" applyAlignment="1">
      <alignment vertical="center" wrapText="1"/>
    </xf>
    <xf numFmtId="3" fontId="5" fillId="33" borderId="8" xfId="0" applyNumberFormat="1" applyFont="1" applyFill="1" applyBorder="1" applyAlignment="1">
      <alignment vertical="center" wrapText="1"/>
    </xf>
    <xf numFmtId="194" fontId="33" fillId="0" borderId="8" xfId="56" applyNumberFormat="1" applyFont="1" applyFill="1" applyBorder="1" applyAlignment="1">
      <alignment vertical="center" wrapText="1"/>
    </xf>
    <xf numFmtId="194" fontId="5" fillId="0" borderId="8" xfId="56" applyNumberFormat="1" applyFont="1" applyFill="1" applyBorder="1" applyAlignment="1">
      <alignment vertical="center"/>
    </xf>
    <xf numFmtId="194" fontId="34" fillId="0" borderId="8" xfId="56" applyNumberFormat="1" applyFont="1" applyFill="1" applyBorder="1" applyAlignment="1">
      <alignment vertical="center" wrapText="1"/>
    </xf>
    <xf numFmtId="194" fontId="26" fillId="0" borderId="11" xfId="56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3" fontId="2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Alignment="1">
      <alignment vertical="center"/>
    </xf>
    <xf numFmtId="194" fontId="3" fillId="0" borderId="8" xfId="56" applyNumberFormat="1" applyFont="1" applyFill="1" applyBorder="1" applyAlignment="1">
      <alignment horizontal="center" vertical="center" wrapText="1"/>
    </xf>
    <xf numFmtId="3" fontId="6" fillId="0" borderId="8" xfId="56" applyNumberFormat="1" applyFont="1" applyBorder="1" applyAlignment="1">
      <alignment horizontal="right" vertical="center" wrapText="1"/>
    </xf>
    <xf numFmtId="194" fontId="9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vertical="center" wrapText="1"/>
    </xf>
    <xf numFmtId="194" fontId="31" fillId="0" borderId="8" xfId="58" applyNumberFormat="1" applyFont="1" applyFill="1" applyBorder="1" applyAlignment="1">
      <alignment horizontal="left" vertical="center" wrapText="1"/>
    </xf>
    <xf numFmtId="194" fontId="31" fillId="0" borderId="9" xfId="58" applyNumberFormat="1" applyFont="1" applyFill="1" applyBorder="1" applyAlignment="1">
      <alignment horizontal="left" vertical="center" wrapText="1"/>
    </xf>
    <xf numFmtId="194" fontId="31" fillId="0" borderId="8" xfId="56" applyNumberFormat="1" applyFont="1" applyFill="1" applyBorder="1" applyAlignment="1">
      <alignment horizontal="left" vertical="center"/>
    </xf>
    <xf numFmtId="3" fontId="31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3" fontId="1" fillId="0" borderId="8" xfId="56" applyNumberFormat="1" applyFont="1" applyFill="1" applyBorder="1" applyAlignment="1">
      <alignment horizontal="right" vertical="center" wrapText="1"/>
    </xf>
    <xf numFmtId="43" fontId="1" fillId="0" borderId="0" xfId="56" applyNumberFormat="1" applyFont="1" applyFill="1" applyAlignment="1">
      <alignment vertical="center" wrapText="1"/>
    </xf>
    <xf numFmtId="226" fontId="1" fillId="0" borderId="0" xfId="56" applyNumberFormat="1" applyFont="1" applyFill="1" applyAlignment="1">
      <alignment vertical="center" wrapText="1"/>
    </xf>
    <xf numFmtId="3" fontId="26" fillId="0" borderId="8" xfId="0" applyNumberFormat="1" applyFont="1" applyFill="1" applyBorder="1" applyAlignment="1">
      <alignment horizontal="left" vertical="center" wrapText="1"/>
    </xf>
    <xf numFmtId="194" fontId="28" fillId="0" borderId="0" xfId="0" applyNumberFormat="1" applyFont="1" applyAlignment="1">
      <alignment vertical="center"/>
    </xf>
    <xf numFmtId="226" fontId="37" fillId="0" borderId="0" xfId="56" applyNumberFormat="1" applyFont="1" applyFill="1" applyAlignment="1">
      <alignment vertical="center" wrapText="1"/>
    </xf>
    <xf numFmtId="3" fontId="26" fillId="0" borderId="8" xfId="0" applyNumberFormat="1" applyFont="1" applyFill="1" applyBorder="1" applyAlignment="1">
      <alignment horizontal="justify" vertical="center" wrapText="1"/>
    </xf>
    <xf numFmtId="0" fontId="34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4" fontId="1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94" fontId="5" fillId="0" borderId="8" xfId="56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94" fontId="8" fillId="0" borderId="0" xfId="56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94" fontId="5" fillId="0" borderId="13" xfId="56" applyNumberFormat="1" applyFont="1" applyBorder="1" applyAlignment="1">
      <alignment horizontal="center" vertical="center" wrapText="1"/>
    </xf>
    <xf numFmtId="194" fontId="5" fillId="0" borderId="14" xfId="56" applyNumberFormat="1" applyFont="1" applyBorder="1" applyAlignment="1">
      <alignment horizontal="center" vertical="center" wrapText="1"/>
    </xf>
    <xf numFmtId="194" fontId="5" fillId="0" borderId="11" xfId="56" applyNumberFormat="1" applyFont="1" applyBorder="1" applyAlignment="1">
      <alignment horizontal="center" vertical="center" wrapText="1"/>
    </xf>
    <xf numFmtId="194" fontId="5" fillId="0" borderId="9" xfId="56" applyNumberFormat="1" applyFont="1" applyBorder="1" applyAlignment="1">
      <alignment horizontal="center" vertical="center" wrapText="1"/>
    </xf>
    <xf numFmtId="194" fontId="5" fillId="0" borderId="12" xfId="56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94" fontId="8" fillId="0" borderId="0" xfId="56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</cellXfs>
  <cellStyles count="80">
    <cellStyle name="Normal" xfId="0"/>
    <cellStyle name="??" xfId="15"/>
    <cellStyle name="?? [0.00]_PRODUCT DETAIL Q1" xfId="16"/>
    <cellStyle name="?? [0]_??" xfId="17"/>
    <cellStyle name="???? [0.00]_PRODUCT DETAIL Q1" xfId="18"/>
    <cellStyle name="????_PRODUCT DETAIL Q1" xfId="19"/>
    <cellStyle name="???_???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eE­ [0]_INQUIRY ¿µ¾÷AßAø " xfId="47"/>
    <cellStyle name="AeE­_INQUIRY ¿µ¾÷AßAø " xfId="48"/>
    <cellStyle name="AÞ¸¶ [0]_INQUIRY ¿?¾÷AßAø " xfId="49"/>
    <cellStyle name="AÞ¸¶_INQUIRY ¿?¾÷AßAø " xfId="50"/>
    <cellStyle name="Bad" xfId="51"/>
    <cellStyle name="C?AØ_¿?¾÷CoE² " xfId="52"/>
    <cellStyle name="C￥AØ_¿μ¾÷CoE² " xfId="53"/>
    <cellStyle name="Calculation" xfId="54"/>
    <cellStyle name="Check Cell" xfId="55"/>
    <cellStyle name="Comma" xfId="56"/>
    <cellStyle name="Comma [0]" xfId="57"/>
    <cellStyle name="Comma 10 11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- Style1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HOBONG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luu%20quyet%20toan%20nam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%20Lieu%20May%20Cu%20E\Ng&#226;nsach2022\QT2021\QTSOTC\MauQTST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%20Lieu%20May%20Cu%20E\Ng&#226;nsach2022\QT2021\QTSOTC\BC-TCKH-2021-PL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%20Lieu%20May%20Cu%20E\Ngansach2021\Tabmi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ke tt tam ung"/>
      <sheetName val="Phieu T"/>
      <sheetName val="So quy"/>
      <sheetName val="giáy tt"/>
      <sheetName val="bth ctg"/>
      <sheetName val="bcdtk"/>
      <sheetName val="socai"/>
      <sheetName val="bao cao2"/>
      <sheetName val="bao cao3"/>
      <sheetName val="bao cao1"/>
      <sheetName val="So KP ngoaiHM"/>
      <sheetName val="TonghopNKP"/>
      <sheetName val="So TGHMKP"/>
      <sheetName val="Candoi"/>
      <sheetName val="CHD 4"/>
      <sheetName val="CHD 2"/>
      <sheetName val="CHD 3"/>
      <sheetName val="CHD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ĐTu"/>
      <sheetName val="SNhuyen"/>
      <sheetName val="SNxa"/>
      <sheetName val="CTMTQG"/>
      <sheetName val="PL1"/>
      <sheetName val="PL2"/>
      <sheetName val="PL3"/>
      <sheetName val="thuhuyen"/>
      <sheetName val="60"/>
      <sheetName val="thumauSo"/>
      <sheetName val="61"/>
      <sheetName val="62"/>
      <sheetName val="65CTMT"/>
      <sheetName val="66(tangHC)"/>
      <sheetName val="67(ko)"/>
      <sheetName val="68"/>
      <sheetName val="69"/>
      <sheetName val="70"/>
      <sheetName val="C.tiếtCN"/>
      <sheetName val="chikhac"/>
      <sheetName val="TƯ"/>
      <sheetName val="BTMT"/>
      <sheetName val="75"/>
      <sheetName val="tiendien"/>
      <sheetName val="CapbuHP"/>
      <sheetName val="KHUYETTAT"/>
      <sheetName val="noptra"/>
      <sheetName val="BTXH."/>
      <sheetName val="Antrua"/>
      <sheetName val="uUDAI"/>
    </sheetNames>
    <sheetDataSet>
      <sheetData sheetId="22">
        <row r="7">
          <cell r="M7">
            <v>85202.485</v>
          </cell>
        </row>
        <row r="11">
          <cell r="E11">
            <v>244900.28499999997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Thu"/>
      <sheetName val="bieu 48"/>
      <sheetName val="Bieu 49"/>
      <sheetName val="Bieu 50"/>
      <sheetName val="Bieu 51"/>
      <sheetName val="Bieu 52"/>
      <sheetName val="Bieu 53"/>
      <sheetName val="Bieu 54"/>
      <sheetName val="Bieu 55 xa"/>
      <sheetName val="Sheet1"/>
      <sheetName val="bieu 57r"/>
      <sheetName val="Bieu 58"/>
      <sheetName val="bieu 59 r"/>
      <sheetName val="Bieu 61 r"/>
      <sheetName val="00000000"/>
    </sheetNames>
    <sheetDataSet>
      <sheetData sheetId="3">
        <row r="13">
          <cell r="D13">
            <v>288954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guon"/>
      <sheetName val="MaSDNS"/>
      <sheetName val="Sheet2"/>
      <sheetName val="ANQP"/>
      <sheetName val="Sheet3"/>
      <sheetName val="QD2021"/>
      <sheetName val="C02021"/>
      <sheetName val="ĐT2021"/>
      <sheetName val="BStrongnam"/>
      <sheetName val="Tiendien"/>
      <sheetName val="BSđâunam"/>
      <sheetName val="DP,VT,KD"/>
      <sheetName val="BSCĐxa"/>
      <sheetName val="Sheet1"/>
      <sheetName val="Sheet4"/>
    </sheetNames>
    <sheetDataSet>
      <sheetData sheetId="13">
        <row r="3">
          <cell r="K3">
            <v>359400</v>
          </cell>
          <cell r="M3">
            <v>1644768</v>
          </cell>
        </row>
        <row r="4">
          <cell r="K4">
            <v>394454</v>
          </cell>
          <cell r="M4">
            <v>4219426</v>
          </cell>
        </row>
        <row r="5">
          <cell r="K5">
            <v>88134</v>
          </cell>
          <cell r="M5">
            <v>1422855</v>
          </cell>
        </row>
        <row r="6">
          <cell r="K6">
            <v>302150</v>
          </cell>
          <cell r="M6">
            <v>1329126</v>
          </cell>
        </row>
        <row r="7">
          <cell r="K7">
            <v>483401</v>
          </cell>
          <cell r="M7">
            <v>1569568</v>
          </cell>
        </row>
        <row r="8">
          <cell r="K8">
            <v>142413</v>
          </cell>
          <cell r="M8">
            <v>1128855</v>
          </cell>
        </row>
        <row r="9">
          <cell r="K9">
            <v>574210</v>
          </cell>
          <cell r="M9">
            <v>1970729</v>
          </cell>
        </row>
        <row r="10">
          <cell r="K10">
            <v>567518</v>
          </cell>
          <cell r="M10">
            <v>1400026</v>
          </cell>
        </row>
        <row r="11">
          <cell r="K11">
            <v>114450</v>
          </cell>
          <cell r="M11">
            <v>799855</v>
          </cell>
        </row>
        <row r="12">
          <cell r="K12">
            <v>910397</v>
          </cell>
          <cell r="M12">
            <v>3335697</v>
          </cell>
        </row>
        <row r="13">
          <cell r="K13">
            <v>733400</v>
          </cell>
          <cell r="M13">
            <v>1326248</v>
          </cell>
        </row>
        <row r="14">
          <cell r="K14">
            <v>323142.8</v>
          </cell>
          <cell r="M14">
            <v>1449705</v>
          </cell>
        </row>
        <row r="15">
          <cell r="K15">
            <v>370600</v>
          </cell>
          <cell r="M15">
            <v>3490226</v>
          </cell>
        </row>
        <row r="16">
          <cell r="K16">
            <v>203850</v>
          </cell>
          <cell r="M16">
            <v>1646355</v>
          </cell>
        </row>
        <row r="17">
          <cell r="K17">
            <v>421550</v>
          </cell>
          <cell r="M17">
            <v>1243797</v>
          </cell>
        </row>
        <row r="18">
          <cell r="K18">
            <v>547873</v>
          </cell>
          <cell r="M18">
            <v>2850097</v>
          </cell>
        </row>
        <row r="19">
          <cell r="K19">
            <v>1031300</v>
          </cell>
          <cell r="M19">
            <v>1768433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7"/>
  <sheetViews>
    <sheetView zoomScalePageLayoutView="0" workbookViewId="0" topLeftCell="A1">
      <selection activeCell="D10" sqref="D10"/>
    </sheetView>
  </sheetViews>
  <sheetFormatPr defaultColWidth="9" defaultRowHeight="18.75" customHeight="1"/>
  <cols>
    <col min="1" max="1" width="7.19921875" style="1" customWidth="1"/>
    <col min="2" max="2" width="49.69921875" style="1" customWidth="1"/>
    <col min="3" max="3" width="14" style="1" customWidth="1"/>
    <col min="4" max="4" width="13.3984375" style="1" customWidth="1"/>
    <col min="5" max="16384" width="9" style="1" customWidth="1"/>
  </cols>
  <sheetData>
    <row r="1" spans="1:4" s="2" customFormat="1" ht="18.75" customHeight="1">
      <c r="A1" s="2" t="s">
        <v>64</v>
      </c>
      <c r="D1" s="3" t="s">
        <v>86</v>
      </c>
    </row>
    <row r="2" spans="1:4" s="4" customFormat="1" ht="25.5" customHeight="1">
      <c r="A2" s="128" t="s">
        <v>260</v>
      </c>
      <c r="B2" s="128"/>
      <c r="C2" s="128"/>
      <c r="D2" s="128"/>
    </row>
    <row r="3" spans="1:4" s="5" customFormat="1" ht="25.5" customHeight="1">
      <c r="A3" s="129" t="s">
        <v>261</v>
      </c>
      <c r="B3" s="129"/>
      <c r="C3" s="129"/>
      <c r="D3" s="129"/>
    </row>
    <row r="4" spans="3:4" s="2" customFormat="1" ht="18.75" customHeight="1">
      <c r="C4" s="99"/>
      <c r="D4" s="3" t="s">
        <v>60</v>
      </c>
    </row>
    <row r="5" spans="1:4" ht="39" customHeight="1">
      <c r="A5" s="8" t="s">
        <v>4</v>
      </c>
      <c r="B5" s="8" t="s">
        <v>5</v>
      </c>
      <c r="C5" s="8" t="s">
        <v>262</v>
      </c>
      <c r="D5" s="119" t="s">
        <v>263</v>
      </c>
    </row>
    <row r="6" spans="1:4" s="52" customFormat="1" ht="23.25" customHeight="1">
      <c r="A6" s="7" t="s">
        <v>0</v>
      </c>
      <c r="B6" s="9" t="s">
        <v>12</v>
      </c>
      <c r="C6" s="10">
        <f>SUM(C8:C16)-C10</f>
        <v>552334000</v>
      </c>
      <c r="D6" s="10">
        <f>SUM(D8:D16)-D10</f>
        <v>922006287.5440001</v>
      </c>
    </row>
    <row r="7" spans="1:4" ht="23.25" customHeight="1">
      <c r="A7" s="125">
        <v>1</v>
      </c>
      <c r="B7" s="126" t="s">
        <v>13</v>
      </c>
      <c r="C7" s="127">
        <f>SUM(C8:C9)</f>
        <v>129930000</v>
      </c>
      <c r="D7" s="127">
        <f>SUM(D8:D9)</f>
        <v>245879278.35500002</v>
      </c>
    </row>
    <row r="8" spans="1:4" ht="23.25" customHeight="1">
      <c r="A8" s="13" t="s">
        <v>10</v>
      </c>
      <c r="B8" s="14" t="s">
        <v>16</v>
      </c>
      <c r="C8" s="100">
        <f>(400+1420+7500+11990+1770+3200+950)*1000</f>
        <v>27230000</v>
      </c>
      <c r="D8" s="15">
        <v>123582493.613</v>
      </c>
    </row>
    <row r="9" spans="1:4" ht="23.25" customHeight="1">
      <c r="A9" s="13" t="s">
        <v>10</v>
      </c>
      <c r="B9" s="14" t="s">
        <v>15</v>
      </c>
      <c r="C9" s="100">
        <f>(23100+14000+65600)*1000</f>
        <v>102700000</v>
      </c>
      <c r="D9" s="15">
        <v>122296784.742</v>
      </c>
    </row>
    <row r="10" spans="1:4" ht="23.25" customHeight="1">
      <c r="A10" s="13">
        <v>2</v>
      </c>
      <c r="B10" s="14" t="s">
        <v>6</v>
      </c>
      <c r="C10" s="15">
        <f>SUM(C11:C12)</f>
        <v>422404000</v>
      </c>
      <c r="D10" s="15">
        <f>SUM(D11:D12)</f>
        <v>533854285</v>
      </c>
    </row>
    <row r="11" spans="1:4" ht="23.25" customHeight="1">
      <c r="A11" s="13" t="s">
        <v>10</v>
      </c>
      <c r="B11" s="14" t="s">
        <v>87</v>
      </c>
      <c r="C11" s="15">
        <v>288954000</v>
      </c>
      <c r="D11" s="15">
        <v>288954000</v>
      </c>
    </row>
    <row r="12" spans="1:4" ht="23.25" customHeight="1">
      <c r="A12" s="13" t="s">
        <v>10</v>
      </c>
      <c r="B12" s="14" t="s">
        <v>88</v>
      </c>
      <c r="C12" s="15">
        <v>133450000</v>
      </c>
      <c r="D12" s="15">
        <v>244900285</v>
      </c>
    </row>
    <row r="13" spans="1:4" ht="23.25" customHeight="1">
      <c r="A13" s="13">
        <v>3</v>
      </c>
      <c r="B13" s="14" t="s">
        <v>7</v>
      </c>
      <c r="C13" s="15">
        <v>0</v>
      </c>
      <c r="D13" s="15">
        <v>574.89</v>
      </c>
    </row>
    <row r="14" spans="1:4" ht="23.25" customHeight="1">
      <c r="A14" s="13">
        <v>4</v>
      </c>
      <c r="B14" s="14" t="s">
        <v>61</v>
      </c>
      <c r="C14" s="15">
        <v>0</v>
      </c>
      <c r="D14" s="101">
        <v>140216399.367</v>
      </c>
    </row>
    <row r="15" spans="1:4" ht="23.25" customHeight="1">
      <c r="A15" s="13">
        <v>5</v>
      </c>
      <c r="B15" s="14" t="s">
        <v>129</v>
      </c>
      <c r="C15" s="15">
        <v>0</v>
      </c>
      <c r="D15" s="15">
        <v>2055749.932</v>
      </c>
    </row>
    <row r="16" spans="1:4" ht="23.25" customHeight="1">
      <c r="A16" s="13">
        <v>6</v>
      </c>
      <c r="B16" s="14" t="s">
        <v>8</v>
      </c>
      <c r="C16" s="15">
        <v>0</v>
      </c>
      <c r="D16" s="15">
        <v>0</v>
      </c>
    </row>
    <row r="17" spans="1:4" s="11" customFormat="1" ht="20.25" customHeight="1">
      <c r="A17" s="7" t="s">
        <v>3</v>
      </c>
      <c r="B17" s="9" t="s">
        <v>14</v>
      </c>
      <c r="C17" s="10">
        <f>C18+C23+C26+C27</f>
        <v>552334000</v>
      </c>
      <c r="D17" s="10">
        <f>D18+D23+D26+D27</f>
        <v>922006287.5439999</v>
      </c>
    </row>
    <row r="18" spans="1:4" s="52" customFormat="1" ht="20.25" customHeight="1">
      <c r="A18" s="7" t="s">
        <v>1</v>
      </c>
      <c r="B18" s="9" t="s">
        <v>89</v>
      </c>
      <c r="C18" s="10">
        <f>SUM(C19:C22)</f>
        <v>496538000</v>
      </c>
      <c r="D18" s="10">
        <f>SUM(D19:D22)</f>
        <v>555648659.867</v>
      </c>
    </row>
    <row r="19" spans="1:4" ht="33.75" customHeight="1">
      <c r="A19" s="13">
        <v>1</v>
      </c>
      <c r="B19" s="14" t="s">
        <v>275</v>
      </c>
      <c r="C19" s="15">
        <v>87100000</v>
      </c>
      <c r="D19" s="15">
        <f>63461787.422+25822800.309</f>
        <v>89284587.731</v>
      </c>
    </row>
    <row r="20" spans="1:4" ht="21.75" customHeight="1">
      <c r="A20" s="13">
        <v>2</v>
      </c>
      <c r="B20" s="14" t="s">
        <v>18</v>
      </c>
      <c r="C20" s="15">
        <v>409438000</v>
      </c>
      <c r="D20" s="15">
        <f>461182726.136-43892</f>
        <v>461138834.136</v>
      </c>
    </row>
    <row r="21" spans="1:4" ht="21.75" customHeight="1">
      <c r="A21" s="13">
        <v>3</v>
      </c>
      <c r="B21" s="14" t="s">
        <v>63</v>
      </c>
      <c r="C21" s="15">
        <v>0</v>
      </c>
      <c r="D21" s="15">
        <v>5225238</v>
      </c>
    </row>
    <row r="22" spans="1:4" ht="21.75" customHeight="1">
      <c r="A22" s="13">
        <v>4</v>
      </c>
      <c r="B22" s="14" t="s">
        <v>9</v>
      </c>
      <c r="C22" s="15">
        <v>0</v>
      </c>
      <c r="D22" s="15">
        <v>0</v>
      </c>
    </row>
    <row r="23" spans="1:4" s="52" customFormat="1" ht="21.75" customHeight="1">
      <c r="A23" s="7" t="s">
        <v>2</v>
      </c>
      <c r="B23" s="9" t="s">
        <v>90</v>
      </c>
      <c r="C23" s="10">
        <f>SUM(C24:C25)</f>
        <v>0</v>
      </c>
      <c r="D23" s="10">
        <f>SUM(D24:D25)</f>
        <v>5694857</v>
      </c>
    </row>
    <row r="24" spans="1:4" ht="21.75" customHeight="1">
      <c r="A24" s="13">
        <v>1</v>
      </c>
      <c r="B24" s="14" t="s">
        <v>91</v>
      </c>
      <c r="C24" s="15">
        <v>0</v>
      </c>
      <c r="D24" s="15">
        <f>43892+615800</f>
        <v>659692</v>
      </c>
    </row>
    <row r="25" spans="1:4" ht="21.75" customHeight="1">
      <c r="A25" s="13">
        <v>2</v>
      </c>
      <c r="B25" s="14" t="s">
        <v>92</v>
      </c>
      <c r="C25" s="15">
        <v>0</v>
      </c>
      <c r="D25" s="15">
        <v>5035165</v>
      </c>
    </row>
    <row r="26" spans="1:4" s="52" customFormat="1" ht="21.75" customHeight="1">
      <c r="A26" s="7" t="s">
        <v>11</v>
      </c>
      <c r="B26" s="9" t="s">
        <v>93</v>
      </c>
      <c r="C26" s="10">
        <v>0</v>
      </c>
      <c r="D26" s="10">
        <v>265778912.877</v>
      </c>
    </row>
    <row r="27" spans="1:4" s="52" customFormat="1" ht="21.75" customHeight="1">
      <c r="A27" s="7" t="s">
        <v>26</v>
      </c>
      <c r="B27" s="9" t="s">
        <v>73</v>
      </c>
      <c r="C27" s="10">
        <v>55796000</v>
      </c>
      <c r="D27" s="10">
        <v>94883857.8</v>
      </c>
    </row>
  </sheetData>
  <sheetProtection/>
  <mergeCells count="2">
    <mergeCell ref="A2:D2"/>
    <mergeCell ref="A3:D3"/>
  </mergeCells>
  <printOptions horizontalCentered="1"/>
  <pageMargins left="0.31496062992125984" right="0.1968503937007874" top="0.5118110236220472" bottom="0.5118110236220472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5"/>
  <sheetViews>
    <sheetView zoomScalePageLayoutView="0" workbookViewId="0" topLeftCell="A1">
      <selection activeCell="A3" sqref="A3:H3"/>
    </sheetView>
  </sheetViews>
  <sheetFormatPr defaultColWidth="9" defaultRowHeight="18" customHeight="1"/>
  <cols>
    <col min="1" max="1" width="7.09765625" style="51" customWidth="1"/>
    <col min="2" max="2" width="35.8984375" style="48" customWidth="1"/>
    <col min="3" max="6" width="13.3984375" style="48" customWidth="1"/>
    <col min="7" max="7" width="7.796875" style="48" customWidth="1"/>
    <col min="8" max="8" width="7.8984375" style="48" customWidth="1"/>
    <col min="9" max="9" width="14.09765625" style="48" customWidth="1"/>
    <col min="10" max="16384" width="9" style="48" customWidth="1"/>
  </cols>
  <sheetData>
    <row r="1" spans="1:7" s="40" customFormat="1" ht="18" customHeight="1">
      <c r="A1" s="40" t="s">
        <v>64</v>
      </c>
      <c r="G1" s="3" t="s">
        <v>101</v>
      </c>
    </row>
    <row r="2" spans="1:8" s="42" customFormat="1" ht="23.25" customHeight="1">
      <c r="A2" s="130" t="s">
        <v>322</v>
      </c>
      <c r="B2" s="130"/>
      <c r="C2" s="130"/>
      <c r="D2" s="130"/>
      <c r="E2" s="130"/>
      <c r="F2" s="130"/>
      <c r="G2" s="130"/>
      <c r="H2" s="130"/>
    </row>
    <row r="3" spans="1:8" s="43" customFormat="1" ht="19.5" customHeight="1">
      <c r="A3" s="131" t="s">
        <v>327</v>
      </c>
      <c r="B3" s="131"/>
      <c r="C3" s="131"/>
      <c r="D3" s="131"/>
      <c r="E3" s="131"/>
      <c r="F3" s="131"/>
      <c r="G3" s="131"/>
      <c r="H3" s="131"/>
    </row>
    <row r="4" s="40" customFormat="1" ht="21" customHeight="1">
      <c r="H4" s="41" t="s">
        <v>17</v>
      </c>
    </row>
    <row r="5" spans="1:8" s="45" customFormat="1" ht="21" customHeight="1">
      <c r="A5" s="132" t="s">
        <v>94</v>
      </c>
      <c r="B5" s="134" t="s">
        <v>95</v>
      </c>
      <c r="C5" s="136" t="s">
        <v>96</v>
      </c>
      <c r="D5" s="137"/>
      <c r="E5" s="136" t="s">
        <v>97</v>
      </c>
      <c r="F5" s="137"/>
      <c r="G5" s="136" t="s">
        <v>100</v>
      </c>
      <c r="H5" s="137"/>
    </row>
    <row r="6" spans="1:8" s="45" customFormat="1" ht="42.75" customHeight="1">
      <c r="A6" s="133"/>
      <c r="B6" s="135"/>
      <c r="C6" s="44" t="s">
        <v>98</v>
      </c>
      <c r="D6" s="44" t="s">
        <v>99</v>
      </c>
      <c r="E6" s="44" t="s">
        <v>98</v>
      </c>
      <c r="F6" s="44" t="s">
        <v>99</v>
      </c>
      <c r="G6" s="35" t="s">
        <v>98</v>
      </c>
      <c r="H6" s="35" t="s">
        <v>99</v>
      </c>
    </row>
    <row r="7" spans="1:8" s="45" customFormat="1" ht="18.75" customHeight="1">
      <c r="A7" s="44" t="s">
        <v>0</v>
      </c>
      <c r="B7" s="46" t="s">
        <v>70</v>
      </c>
      <c r="C7" s="55">
        <f>C8+C9+C45+C48+C47</f>
        <v>184690000</v>
      </c>
      <c r="D7" s="55">
        <f>D8+D9+D45+D48+D47</f>
        <v>129930000</v>
      </c>
      <c r="E7" s="55">
        <f>E8+E9+E45+E48+E47</f>
        <v>658211770.3</v>
      </c>
      <c r="F7" s="55">
        <f>F8+F9+F45+F48+F47</f>
        <v>247935603.89999998</v>
      </c>
      <c r="G7" s="59">
        <f>E7/C7*100</f>
        <v>356.3873356976555</v>
      </c>
      <c r="H7" s="55">
        <f>F7/D7*100</f>
        <v>190.82244585546061</v>
      </c>
    </row>
    <row r="8" spans="1:8" s="45" customFormat="1" ht="33.75" customHeight="1">
      <c r="A8" s="44" t="s">
        <v>1</v>
      </c>
      <c r="B8" s="49" t="s">
        <v>85</v>
      </c>
      <c r="C8" s="55">
        <v>0</v>
      </c>
      <c r="D8" s="55">
        <v>0</v>
      </c>
      <c r="E8" s="55">
        <v>329802414</v>
      </c>
      <c r="F8" s="55">
        <v>0</v>
      </c>
      <c r="G8" s="59"/>
      <c r="H8" s="55"/>
    </row>
    <row r="9" spans="1:8" s="45" customFormat="1" ht="18.75" customHeight="1">
      <c r="A9" s="44" t="s">
        <v>2</v>
      </c>
      <c r="B9" s="46" t="s">
        <v>165</v>
      </c>
      <c r="C9" s="55">
        <f>C10+C19+C20+C21+C24+C25+C30+C31+C32+C40+C44</f>
        <v>184690000</v>
      </c>
      <c r="D9" s="55">
        <f>D10+D19+D20+D21+D24+D25+D30+D31+D32+D40+D44</f>
        <v>129930000</v>
      </c>
      <c r="E9" s="55">
        <f>E10+E19+E20+E21+E24+E25+E30+E31+E32+E40+E44</f>
        <v>320894185.3</v>
      </c>
      <c r="F9" s="55">
        <f>F10+F19+F20+F21+F24+F25+F30+F31+F32+F40+F44</f>
        <v>245879278.89999998</v>
      </c>
      <c r="G9" s="59">
        <f aca="true" t="shared" si="0" ref="G9:G51">E9/C9*100</f>
        <v>173.7474607721046</v>
      </c>
      <c r="H9" s="55">
        <f>F9/D9*100</f>
        <v>189.23980520280148</v>
      </c>
    </row>
    <row r="10" spans="1:8" s="45" customFormat="1" ht="18.75" customHeight="1">
      <c r="A10" s="44">
        <v>1</v>
      </c>
      <c r="B10" s="46" t="s">
        <v>21</v>
      </c>
      <c r="C10" s="55">
        <f>C11+C13+C16</f>
        <v>62000000</v>
      </c>
      <c r="D10" s="55">
        <f>D11+D13+D16</f>
        <v>37500000</v>
      </c>
      <c r="E10" s="55">
        <f>E11+E13+E16</f>
        <v>120556888</v>
      </c>
      <c r="F10" s="55">
        <f>F11+F13+F16</f>
        <v>100098341.6</v>
      </c>
      <c r="G10" s="59">
        <f t="shared" si="0"/>
        <v>194.44659354838709</v>
      </c>
      <c r="H10" s="55">
        <f>F10/D10*100</f>
        <v>266.9289109333333</v>
      </c>
    </row>
    <row r="11" spans="1:8" s="45" customFormat="1" ht="18.75" customHeight="1">
      <c r="A11" s="44" t="s">
        <v>22</v>
      </c>
      <c r="B11" s="46" t="s">
        <v>38</v>
      </c>
      <c r="C11" s="55">
        <f>SUM(C12:C12)</f>
        <v>8600000</v>
      </c>
      <c r="D11" s="55">
        <f>SUM(D12:D12)</f>
        <v>0</v>
      </c>
      <c r="E11" s="55">
        <f>SUM(E12:E12)</f>
        <v>7254934</v>
      </c>
      <c r="F11" s="55">
        <f>SUM(F12:F12)</f>
        <v>50117</v>
      </c>
      <c r="G11" s="59">
        <f t="shared" si="0"/>
        <v>84.35969767441861</v>
      </c>
      <c r="H11" s="55"/>
    </row>
    <row r="12" spans="1:8" s="58" customFormat="1" ht="18.75" customHeight="1">
      <c r="A12" s="47" t="s">
        <v>39</v>
      </c>
      <c r="B12" s="57" t="s">
        <v>65</v>
      </c>
      <c r="C12" s="56">
        <v>8600000</v>
      </c>
      <c r="D12" s="56">
        <v>0</v>
      </c>
      <c r="E12" s="56">
        <v>7254934</v>
      </c>
      <c r="F12" s="56">
        <v>50117</v>
      </c>
      <c r="G12" s="60">
        <f t="shared" si="0"/>
        <v>84.35969767441861</v>
      </c>
      <c r="H12" s="56"/>
    </row>
    <row r="13" spans="1:8" s="45" customFormat="1" ht="18.75" customHeight="1">
      <c r="A13" s="44" t="s">
        <v>23</v>
      </c>
      <c r="B13" s="46" t="s">
        <v>36</v>
      </c>
      <c r="C13" s="55">
        <f>SUM(C14:C15)</f>
        <v>33400000</v>
      </c>
      <c r="D13" s="55">
        <f>SUM(D14:D15)</f>
        <v>23500000</v>
      </c>
      <c r="E13" s="55">
        <f>SUM(E14:E15)</f>
        <v>42716608</v>
      </c>
      <c r="F13" s="55">
        <f>SUM(F14:F15)</f>
        <v>34346297</v>
      </c>
      <c r="G13" s="59">
        <f t="shared" si="0"/>
        <v>127.89403592814372</v>
      </c>
      <c r="H13" s="55">
        <f aca="true" t="shared" si="1" ref="H13:H18">F13/D13*100</f>
        <v>146.15445531914895</v>
      </c>
    </row>
    <row r="14" spans="1:8" s="58" customFormat="1" ht="18.75" customHeight="1">
      <c r="A14" s="47" t="s">
        <v>39</v>
      </c>
      <c r="B14" s="57" t="s">
        <v>40</v>
      </c>
      <c r="C14" s="56">
        <v>400000</v>
      </c>
      <c r="D14" s="56">
        <v>400000</v>
      </c>
      <c r="E14" s="56">
        <v>19827546</v>
      </c>
      <c r="F14" s="56">
        <v>17926704</v>
      </c>
      <c r="G14" s="60">
        <f t="shared" si="0"/>
        <v>4956.8865000000005</v>
      </c>
      <c r="H14" s="56">
        <f t="shared" si="1"/>
        <v>4481.676</v>
      </c>
    </row>
    <row r="15" spans="1:8" s="58" customFormat="1" ht="18.75" customHeight="1">
      <c r="A15" s="47" t="s">
        <v>39</v>
      </c>
      <c r="B15" s="57" t="s">
        <v>48</v>
      </c>
      <c r="C15" s="56">
        <v>33000000</v>
      </c>
      <c r="D15" s="56">
        <v>23100000</v>
      </c>
      <c r="E15" s="56">
        <v>22889062</v>
      </c>
      <c r="F15" s="56">
        <v>16419593</v>
      </c>
      <c r="G15" s="60">
        <f t="shared" si="0"/>
        <v>69.36079393939394</v>
      </c>
      <c r="H15" s="56">
        <f t="shared" si="1"/>
        <v>71.08048917748918</v>
      </c>
    </row>
    <row r="16" spans="1:8" s="45" customFormat="1" ht="18.75" customHeight="1">
      <c r="A16" s="44" t="s">
        <v>25</v>
      </c>
      <c r="B16" s="46" t="s">
        <v>41</v>
      </c>
      <c r="C16" s="55">
        <f>SUM(C17:C18)</f>
        <v>20000000</v>
      </c>
      <c r="D16" s="55">
        <f>SUM(D17:D18)</f>
        <v>14000000</v>
      </c>
      <c r="E16" s="55">
        <f>SUM(E17:E18)</f>
        <v>70585346</v>
      </c>
      <c r="F16" s="55">
        <f>SUM(F17:F18)</f>
        <v>65701927.599999994</v>
      </c>
      <c r="G16" s="59">
        <f t="shared" si="0"/>
        <v>352.92672999999996</v>
      </c>
      <c r="H16" s="55">
        <f t="shared" si="1"/>
        <v>469.2994828571428</v>
      </c>
    </row>
    <row r="17" spans="1:8" s="58" customFormat="1" ht="18.75" customHeight="1">
      <c r="A17" s="47" t="s">
        <v>39</v>
      </c>
      <c r="B17" s="57" t="s">
        <v>24</v>
      </c>
      <c r="C17" s="56">
        <v>0</v>
      </c>
      <c r="D17" s="56">
        <v>0</v>
      </c>
      <c r="E17" s="56">
        <v>68454359</v>
      </c>
      <c r="F17" s="56">
        <v>64369438.3</v>
      </c>
      <c r="G17" s="60"/>
      <c r="H17" s="56"/>
    </row>
    <row r="18" spans="1:8" s="58" customFormat="1" ht="18.75" customHeight="1">
      <c r="A18" s="47" t="s">
        <v>39</v>
      </c>
      <c r="B18" s="57" t="s">
        <v>49</v>
      </c>
      <c r="C18" s="56">
        <v>20000000</v>
      </c>
      <c r="D18" s="56">
        <v>14000000</v>
      </c>
      <c r="E18" s="56">
        <v>2130987</v>
      </c>
      <c r="F18" s="56">
        <v>1332489.3</v>
      </c>
      <c r="G18" s="60">
        <f t="shared" si="0"/>
        <v>10.654935</v>
      </c>
      <c r="H18" s="56">
        <f t="shared" si="1"/>
        <v>9.517780714285715</v>
      </c>
    </row>
    <row r="19" spans="1:8" s="45" customFormat="1" ht="18.75" customHeight="1">
      <c r="A19" s="44">
        <v>2</v>
      </c>
      <c r="B19" s="46" t="s">
        <v>57</v>
      </c>
      <c r="C19" s="55">
        <v>5000000</v>
      </c>
      <c r="D19" s="55">
        <v>1420000</v>
      </c>
      <c r="E19" s="90">
        <v>12767629</v>
      </c>
      <c r="F19" s="55">
        <v>10289249</v>
      </c>
      <c r="G19" s="59">
        <f t="shared" si="0"/>
        <v>255.35258000000002</v>
      </c>
      <c r="H19" s="55"/>
    </row>
    <row r="20" spans="1:8" s="45" customFormat="1" ht="18.75" customHeight="1">
      <c r="A20" s="44">
        <v>3</v>
      </c>
      <c r="B20" s="46" t="s">
        <v>58</v>
      </c>
      <c r="C20" s="55">
        <v>7500000</v>
      </c>
      <c r="D20" s="55">
        <f>C20</f>
        <v>7500000</v>
      </c>
      <c r="E20" s="90">
        <v>11940138</v>
      </c>
      <c r="F20" s="55">
        <f>E20</f>
        <v>11940138</v>
      </c>
      <c r="G20" s="59">
        <f t="shared" si="0"/>
        <v>159.20184</v>
      </c>
      <c r="H20" s="55"/>
    </row>
    <row r="21" spans="1:8" s="45" customFormat="1" ht="18.75" customHeight="1">
      <c r="A21" s="44">
        <v>4</v>
      </c>
      <c r="B21" s="46" t="s">
        <v>42</v>
      </c>
      <c r="C21" s="55">
        <f>SUM(C22:C23)</f>
        <v>13000000</v>
      </c>
      <c r="D21" s="55">
        <f>SUM(D22:D23)</f>
        <v>11990000</v>
      </c>
      <c r="E21" s="89">
        <f>SUM(E22:E23)</f>
        <v>20632312</v>
      </c>
      <c r="F21" s="55">
        <f>SUM(F22:F23)</f>
        <v>17113489.3</v>
      </c>
      <c r="G21" s="59">
        <f t="shared" si="0"/>
        <v>158.71009230769232</v>
      </c>
      <c r="H21" s="55"/>
    </row>
    <row r="22" spans="1:8" s="58" customFormat="1" ht="18.75" customHeight="1">
      <c r="A22" s="47" t="s">
        <v>39</v>
      </c>
      <c r="B22" s="57" t="s">
        <v>43</v>
      </c>
      <c r="C22" s="56">
        <v>1010000</v>
      </c>
      <c r="D22" s="56">
        <v>0</v>
      </c>
      <c r="E22" s="56">
        <v>3518823</v>
      </c>
      <c r="F22" s="56"/>
      <c r="G22" s="60">
        <f t="shared" si="0"/>
        <v>348.3983168316832</v>
      </c>
      <c r="H22" s="56"/>
    </row>
    <row r="23" spans="1:8" s="58" customFormat="1" ht="18.75" customHeight="1">
      <c r="A23" s="47" t="s">
        <v>39</v>
      </c>
      <c r="B23" s="57" t="s">
        <v>131</v>
      </c>
      <c r="C23" s="56">
        <v>11990000</v>
      </c>
      <c r="D23" s="56">
        <f>C23</f>
        <v>11990000</v>
      </c>
      <c r="E23" s="56">
        <v>17113489</v>
      </c>
      <c r="F23" s="56">
        <v>17113489.3</v>
      </c>
      <c r="G23" s="60">
        <f t="shared" si="0"/>
        <v>142.7313511259383</v>
      </c>
      <c r="H23" s="56"/>
    </row>
    <row r="24" spans="1:8" s="45" customFormat="1" ht="18.75" customHeight="1">
      <c r="A24" s="44">
        <v>5</v>
      </c>
      <c r="B24" s="46" t="s">
        <v>59</v>
      </c>
      <c r="C24" s="55">
        <v>90000</v>
      </c>
      <c r="D24" s="55">
        <v>0</v>
      </c>
      <c r="E24" s="55">
        <v>111118</v>
      </c>
      <c r="F24" s="55">
        <v>0</v>
      </c>
      <c r="G24" s="59">
        <f t="shared" si="0"/>
        <v>123.46444444444444</v>
      </c>
      <c r="H24" s="55"/>
    </row>
    <row r="25" spans="1:8" s="45" customFormat="1" ht="18.75" customHeight="1">
      <c r="A25" s="44">
        <v>6</v>
      </c>
      <c r="B25" s="46" t="s">
        <v>44</v>
      </c>
      <c r="C25" s="55">
        <f>SUM(C26:C29)</f>
        <v>4500000</v>
      </c>
      <c r="D25" s="55">
        <f>SUM(D26:D29)</f>
        <v>1770000</v>
      </c>
      <c r="E25" s="55">
        <f>SUM(E26:E29)</f>
        <v>5055418</v>
      </c>
      <c r="F25" s="55">
        <f>SUM(F26:F29)</f>
        <v>1300367</v>
      </c>
      <c r="G25" s="59">
        <f t="shared" si="0"/>
        <v>112.34262222222222</v>
      </c>
      <c r="H25" s="55">
        <f>F25/D25*100</f>
        <v>73.46706214689266</v>
      </c>
    </row>
    <row r="26" spans="1:8" s="58" customFormat="1" ht="18.75" customHeight="1">
      <c r="A26" s="47" t="s">
        <v>39</v>
      </c>
      <c r="B26" s="57" t="s">
        <v>149</v>
      </c>
      <c r="C26" s="56">
        <v>1200000</v>
      </c>
      <c r="D26" s="56"/>
      <c r="E26" s="56">
        <v>2459077</v>
      </c>
      <c r="F26" s="56"/>
      <c r="G26" s="60">
        <f t="shared" si="0"/>
        <v>204.92308333333332</v>
      </c>
      <c r="H26" s="55"/>
    </row>
    <row r="27" spans="1:8" s="58" customFormat="1" ht="18.75" customHeight="1">
      <c r="A27" s="47" t="s">
        <v>39</v>
      </c>
      <c r="B27" s="57" t="s">
        <v>148</v>
      </c>
      <c r="C27" s="56">
        <v>1470000</v>
      </c>
      <c r="D27" s="56">
        <f>C27</f>
        <v>1470000</v>
      </c>
      <c r="E27" s="56">
        <v>1300367</v>
      </c>
      <c r="F27" s="56">
        <f>E27</f>
        <v>1300367</v>
      </c>
      <c r="G27" s="60">
        <f t="shared" si="0"/>
        <v>88.46034013605443</v>
      </c>
      <c r="H27" s="56">
        <f>F27/D27*100</f>
        <v>88.46034013605443</v>
      </c>
    </row>
    <row r="28" spans="1:8" s="58" customFormat="1" ht="18.75" customHeight="1">
      <c r="A28" s="47" t="s">
        <v>39</v>
      </c>
      <c r="B28" s="57" t="s">
        <v>150</v>
      </c>
      <c r="C28" s="56">
        <v>900000</v>
      </c>
      <c r="D28" s="56"/>
      <c r="E28" s="56">
        <v>607055</v>
      </c>
      <c r="F28" s="56"/>
      <c r="G28" s="60">
        <f t="shared" si="0"/>
        <v>67.45055555555555</v>
      </c>
      <c r="H28" s="56"/>
    </row>
    <row r="29" spans="1:8" s="58" customFormat="1" ht="18.75" customHeight="1">
      <c r="A29" s="47" t="s">
        <v>39</v>
      </c>
      <c r="B29" s="57" t="s">
        <v>151</v>
      </c>
      <c r="C29" s="56">
        <v>930000</v>
      </c>
      <c r="D29" s="56">
        <v>300000</v>
      </c>
      <c r="E29" s="56">
        <v>688919</v>
      </c>
      <c r="F29" s="56">
        <v>0</v>
      </c>
      <c r="G29" s="60">
        <f t="shared" si="0"/>
        <v>74.07731182795699</v>
      </c>
      <c r="H29" s="56"/>
    </row>
    <row r="30" spans="1:8" s="45" customFormat="1" ht="18.75" customHeight="1">
      <c r="A30" s="44">
        <v>7</v>
      </c>
      <c r="B30" s="46" t="s">
        <v>146</v>
      </c>
      <c r="C30" s="55">
        <v>82000000</v>
      </c>
      <c r="D30" s="55">
        <f>C30*80%</f>
        <v>65600000</v>
      </c>
      <c r="E30" s="55">
        <v>130680879</v>
      </c>
      <c r="F30" s="89">
        <v>104544703.3</v>
      </c>
      <c r="G30" s="59">
        <f t="shared" si="0"/>
        <v>159.3669256097561</v>
      </c>
      <c r="H30" s="55">
        <f>F30/D30*100</f>
        <v>159.3669257621951</v>
      </c>
    </row>
    <row r="31" spans="1:8" s="45" customFormat="1" ht="18.75" customHeight="1">
      <c r="A31" s="44">
        <v>8</v>
      </c>
      <c r="B31" s="46" t="s">
        <v>45</v>
      </c>
      <c r="C31" s="55">
        <v>5000000</v>
      </c>
      <c r="D31" s="55">
        <v>3200000</v>
      </c>
      <c r="E31" s="55">
        <v>6131543</v>
      </c>
      <c r="F31" s="55">
        <v>0</v>
      </c>
      <c r="G31" s="59">
        <f t="shared" si="0"/>
        <v>122.63086000000001</v>
      </c>
      <c r="H31" s="55">
        <f>F31/D31*100</f>
        <v>0</v>
      </c>
    </row>
    <row r="32" spans="1:8" s="45" customFormat="1" ht="18.75" customHeight="1">
      <c r="A32" s="44">
        <v>9</v>
      </c>
      <c r="B32" s="46" t="s">
        <v>37</v>
      </c>
      <c r="C32" s="55">
        <f>SUM(C33:C39)</f>
        <v>3200000</v>
      </c>
      <c r="D32" s="55">
        <f>SUM(D33:D39)</f>
        <v>950000</v>
      </c>
      <c r="E32" s="55">
        <f>SUM(E33:E39)</f>
        <v>4358713.3</v>
      </c>
      <c r="F32" s="55">
        <f>SUM(F33:F39)</f>
        <v>592990.7</v>
      </c>
      <c r="G32" s="59">
        <f t="shared" si="0"/>
        <v>136.209790625</v>
      </c>
      <c r="H32" s="55">
        <f>F32/D32*100</f>
        <v>62.42007368421052</v>
      </c>
    </row>
    <row r="33" spans="1:8" s="58" customFormat="1" ht="18.75" customHeight="1">
      <c r="A33" s="44" t="s">
        <v>39</v>
      </c>
      <c r="B33" s="57" t="s">
        <v>158</v>
      </c>
      <c r="C33" s="56">
        <v>1200000</v>
      </c>
      <c r="D33" s="56"/>
      <c r="E33" s="56">
        <v>600081.6</v>
      </c>
      <c r="F33" s="56"/>
      <c r="G33" s="59"/>
      <c r="H33" s="55"/>
    </row>
    <row r="34" spans="1:8" s="58" customFormat="1" ht="18.75" customHeight="1">
      <c r="A34" s="44" t="s">
        <v>39</v>
      </c>
      <c r="B34" s="57" t="s">
        <v>159</v>
      </c>
      <c r="C34" s="56">
        <v>950000</v>
      </c>
      <c r="D34" s="56">
        <f>C34</f>
        <v>950000</v>
      </c>
      <c r="E34" s="56">
        <v>303967.7</v>
      </c>
      <c r="F34" s="56">
        <f>E34</f>
        <v>303967.7</v>
      </c>
      <c r="G34" s="60">
        <f t="shared" si="0"/>
        <v>31.996600000000004</v>
      </c>
      <c r="H34" s="56">
        <f>F34/D34*100</f>
        <v>31.996600000000004</v>
      </c>
    </row>
    <row r="35" spans="1:8" s="58" customFormat="1" ht="18.75" customHeight="1">
      <c r="A35" s="44" t="s">
        <v>39</v>
      </c>
      <c r="B35" s="57" t="s">
        <v>160</v>
      </c>
      <c r="C35" s="56">
        <v>1050000</v>
      </c>
      <c r="D35" s="56"/>
      <c r="E35" s="56">
        <v>1063937</v>
      </c>
      <c r="F35" s="56"/>
      <c r="G35" s="60"/>
      <c r="H35" s="56"/>
    </row>
    <row r="36" spans="1:8" s="58" customFormat="1" ht="18.75" customHeight="1">
      <c r="A36" s="44" t="s">
        <v>39</v>
      </c>
      <c r="B36" s="57" t="s">
        <v>161</v>
      </c>
      <c r="C36" s="56"/>
      <c r="D36" s="56"/>
      <c r="E36" s="56">
        <v>1609808</v>
      </c>
      <c r="F36" s="56">
        <v>145023</v>
      </c>
      <c r="G36" s="60"/>
      <c r="H36" s="56"/>
    </row>
    <row r="37" spans="1:8" s="58" customFormat="1" ht="18.75" customHeight="1">
      <c r="A37" s="44" t="s">
        <v>39</v>
      </c>
      <c r="B37" s="57" t="s">
        <v>162</v>
      </c>
      <c r="C37" s="56"/>
      <c r="D37" s="56"/>
      <c r="E37" s="56">
        <v>12000</v>
      </c>
      <c r="F37" s="56">
        <f>E37</f>
        <v>12000</v>
      </c>
      <c r="G37" s="60"/>
      <c r="H37" s="56"/>
    </row>
    <row r="38" spans="1:8" s="58" customFormat="1" ht="18.75" customHeight="1">
      <c r="A38" s="44" t="s">
        <v>39</v>
      </c>
      <c r="B38" s="57" t="s">
        <v>163</v>
      </c>
      <c r="C38" s="56"/>
      <c r="D38" s="56"/>
      <c r="E38" s="56">
        <v>0</v>
      </c>
      <c r="F38" s="56"/>
      <c r="G38" s="60"/>
      <c r="H38" s="56"/>
    </row>
    <row r="39" spans="1:8" s="58" customFormat="1" ht="18.75" customHeight="1">
      <c r="A39" s="44" t="s">
        <v>39</v>
      </c>
      <c r="B39" s="57" t="s">
        <v>164</v>
      </c>
      <c r="C39" s="56"/>
      <c r="D39" s="56"/>
      <c r="E39" s="56">
        <v>768919</v>
      </c>
      <c r="F39" s="56">
        <v>132000</v>
      </c>
      <c r="G39" s="60"/>
      <c r="H39" s="56"/>
    </row>
    <row r="40" spans="1:8" s="45" customFormat="1" ht="18.75" customHeight="1">
      <c r="A40" s="44">
        <v>10</v>
      </c>
      <c r="B40" s="46" t="s">
        <v>46</v>
      </c>
      <c r="C40" s="55">
        <f>SUM(C41:C43)</f>
        <v>2000000</v>
      </c>
      <c r="D40" s="55">
        <f>SUM(D41:D43)</f>
        <v>0</v>
      </c>
      <c r="E40" s="55">
        <f>SUM(E41:E43)</f>
        <v>1246043</v>
      </c>
      <c r="F40" s="55">
        <f>SUM(F41:F43)</f>
        <v>0</v>
      </c>
      <c r="G40" s="59">
        <f t="shared" si="0"/>
        <v>62.30215</v>
      </c>
      <c r="H40" s="55"/>
    </row>
    <row r="41" spans="1:8" s="58" customFormat="1" ht="18.75" customHeight="1">
      <c r="A41" s="47" t="s">
        <v>39</v>
      </c>
      <c r="B41" s="86" t="s">
        <v>152</v>
      </c>
      <c r="C41" s="56">
        <v>1760000</v>
      </c>
      <c r="D41" s="56"/>
      <c r="E41" s="56">
        <v>252015</v>
      </c>
      <c r="F41" s="56"/>
      <c r="G41" s="60">
        <f t="shared" si="0"/>
        <v>14.319034090909092</v>
      </c>
      <c r="H41" s="56"/>
    </row>
    <row r="42" spans="1:8" s="58" customFormat="1" ht="18.75" customHeight="1">
      <c r="A42" s="47" t="s">
        <v>39</v>
      </c>
      <c r="B42" s="86" t="s">
        <v>153</v>
      </c>
      <c r="C42" s="56">
        <v>240000</v>
      </c>
      <c r="D42" s="56"/>
      <c r="E42" s="56">
        <v>930497</v>
      </c>
      <c r="F42" s="56"/>
      <c r="G42" s="60">
        <f>E42/C42*100</f>
        <v>387.70708333333334</v>
      </c>
      <c r="H42" s="56"/>
    </row>
    <row r="43" spans="1:8" s="58" customFormat="1" ht="18.75" customHeight="1">
      <c r="A43" s="47" t="s">
        <v>39</v>
      </c>
      <c r="B43" s="86" t="s">
        <v>264</v>
      </c>
      <c r="C43" s="56"/>
      <c r="D43" s="56"/>
      <c r="E43" s="56">
        <v>63531</v>
      </c>
      <c r="F43" s="56"/>
      <c r="G43" s="60"/>
      <c r="H43" s="56"/>
    </row>
    <row r="44" spans="1:8" s="45" customFormat="1" ht="18.75" customHeight="1">
      <c r="A44" s="44">
        <v>11</v>
      </c>
      <c r="B44" s="46" t="s">
        <v>144</v>
      </c>
      <c r="C44" s="55">
        <v>400000</v>
      </c>
      <c r="D44" s="55">
        <v>0</v>
      </c>
      <c r="E44" s="55">
        <v>7413504</v>
      </c>
      <c r="F44" s="55"/>
      <c r="G44" s="59"/>
      <c r="H44" s="55"/>
    </row>
    <row r="45" spans="1:8" s="45" customFormat="1" ht="18.75" customHeight="1">
      <c r="A45" s="44" t="s">
        <v>11</v>
      </c>
      <c r="B45" s="46" t="s">
        <v>147</v>
      </c>
      <c r="C45" s="55">
        <f>SUM(C46:C46)</f>
        <v>0</v>
      </c>
      <c r="D45" s="55">
        <f>SUM(D46:D46)</f>
        <v>0</v>
      </c>
      <c r="E45" s="55">
        <f>SUM(E46:E46)</f>
        <v>233608</v>
      </c>
      <c r="F45" s="55">
        <f>SUM(F46:F46)</f>
        <v>0</v>
      </c>
      <c r="G45" s="59"/>
      <c r="H45" s="55"/>
    </row>
    <row r="46" spans="1:8" s="58" customFormat="1" ht="18.75" customHeight="1">
      <c r="A46" s="80" t="s">
        <v>39</v>
      </c>
      <c r="B46" s="57" t="s">
        <v>66</v>
      </c>
      <c r="C46" s="56">
        <v>0</v>
      </c>
      <c r="D46" s="56">
        <v>0</v>
      </c>
      <c r="E46" s="56">
        <v>233608</v>
      </c>
      <c r="F46" s="56"/>
      <c r="G46" s="60"/>
      <c r="H46" s="56"/>
    </row>
    <row r="47" spans="1:8" s="45" customFormat="1" ht="18.75" customHeight="1">
      <c r="A47" s="44" t="s">
        <v>26</v>
      </c>
      <c r="B47" s="46" t="s">
        <v>130</v>
      </c>
      <c r="C47" s="55">
        <v>0</v>
      </c>
      <c r="D47" s="55">
        <v>0</v>
      </c>
      <c r="E47" s="55">
        <v>7280988</v>
      </c>
      <c r="F47" s="55">
        <v>2055750</v>
      </c>
      <c r="G47" s="59"/>
      <c r="H47" s="55"/>
    </row>
    <row r="48" spans="1:8" s="45" customFormat="1" ht="18.75" customHeight="1">
      <c r="A48" s="44" t="s">
        <v>51</v>
      </c>
      <c r="B48" s="46" t="s">
        <v>47</v>
      </c>
      <c r="C48" s="55"/>
      <c r="D48" s="55">
        <f>C48</f>
        <v>0</v>
      </c>
      <c r="E48" s="55">
        <v>575</v>
      </c>
      <c r="F48" s="55">
        <f>E48</f>
        <v>575</v>
      </c>
      <c r="G48" s="59"/>
      <c r="H48" s="55"/>
    </row>
    <row r="49" spans="1:8" s="45" customFormat="1" ht="18.75" customHeight="1">
      <c r="A49" s="44" t="s">
        <v>3</v>
      </c>
      <c r="B49" s="46" t="s">
        <v>61</v>
      </c>
      <c r="C49" s="55">
        <v>0</v>
      </c>
      <c r="D49" s="55"/>
      <c r="E49" s="55">
        <v>165187416</v>
      </c>
      <c r="F49" s="55">
        <v>140216399</v>
      </c>
      <c r="G49" s="59"/>
      <c r="H49" s="55"/>
    </row>
    <row r="50" spans="1:8" s="45" customFormat="1" ht="18.75" customHeight="1">
      <c r="A50" s="44" t="s">
        <v>68</v>
      </c>
      <c r="B50" s="46" t="s">
        <v>67</v>
      </c>
      <c r="C50" s="55">
        <v>422404000</v>
      </c>
      <c r="D50" s="55">
        <f>C50</f>
        <v>422404000</v>
      </c>
      <c r="E50" s="55">
        <v>533854285</v>
      </c>
      <c r="F50" s="55">
        <f>E50</f>
        <v>533854285</v>
      </c>
      <c r="G50" s="59">
        <f t="shared" si="0"/>
        <v>126.38476079771972</v>
      </c>
      <c r="H50" s="55">
        <f>F50/D50*100</f>
        <v>126.38476079771972</v>
      </c>
    </row>
    <row r="51" spans="1:9" s="45" customFormat="1" ht="18.75" customHeight="1">
      <c r="A51" s="44"/>
      <c r="B51" s="46" t="s">
        <v>69</v>
      </c>
      <c r="C51" s="55">
        <f>C50+C49+C7</f>
        <v>607094000</v>
      </c>
      <c r="D51" s="55">
        <f>D50+D49+D7</f>
        <v>552334000</v>
      </c>
      <c r="E51" s="55">
        <f>E50+E49+E7</f>
        <v>1357253471.3</v>
      </c>
      <c r="F51" s="55">
        <f>F50+F49+F7</f>
        <v>922006287.9</v>
      </c>
      <c r="G51" s="59">
        <f t="shared" si="0"/>
        <v>223.5656210240918</v>
      </c>
      <c r="H51" s="55">
        <f>F51/D51*100</f>
        <v>166.92912040540685</v>
      </c>
      <c r="I51" s="87"/>
    </row>
    <row r="52" spans="1:9" ht="18" customHeight="1">
      <c r="A52" s="50"/>
      <c r="B52" s="40"/>
      <c r="C52" s="40"/>
      <c r="D52" s="40"/>
      <c r="E52" s="40"/>
      <c r="F52" s="40"/>
      <c r="G52" s="40"/>
      <c r="H52" s="40"/>
      <c r="I52" s="81"/>
    </row>
    <row r="53" spans="1:9" ht="18" customHeight="1">
      <c r="A53" s="50"/>
      <c r="B53" s="40"/>
      <c r="C53" s="40"/>
      <c r="D53" s="40"/>
      <c r="E53" s="40"/>
      <c r="F53" s="40"/>
      <c r="G53" s="40"/>
      <c r="H53" s="40"/>
      <c r="I53" s="81"/>
    </row>
    <row r="54" ht="18" customHeight="1">
      <c r="I54" s="81"/>
    </row>
    <row r="55" ht="18" customHeight="1">
      <c r="I55" s="81"/>
    </row>
  </sheetData>
  <sheetProtection/>
  <mergeCells count="7">
    <mergeCell ref="A2:H2"/>
    <mergeCell ref="A3:H3"/>
    <mergeCell ref="A5:A6"/>
    <mergeCell ref="B5:B6"/>
    <mergeCell ref="C5:D5"/>
    <mergeCell ref="E5:F5"/>
    <mergeCell ref="G5:H5"/>
  </mergeCells>
  <printOptions horizontalCentered="1"/>
  <pageMargins left="0.2755905511811024" right="0" top="0.31496062992125984" bottom="0.2755905511811024" header="0.5118110236220472" footer="0.5118110236220472"/>
  <pageSetup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PageLayoutView="0" workbookViewId="0" topLeftCell="A1">
      <selection activeCell="A3" sqref="A3:K3"/>
    </sheetView>
  </sheetViews>
  <sheetFormatPr defaultColWidth="9" defaultRowHeight="18.75" customHeight="1"/>
  <cols>
    <col min="1" max="1" width="5.3984375" style="1" customWidth="1"/>
    <col min="2" max="2" width="37.296875" style="1" customWidth="1"/>
    <col min="3" max="4" width="12.296875" style="1" customWidth="1"/>
    <col min="5" max="5" width="12" style="1" customWidth="1"/>
    <col min="6" max="8" width="12.296875" style="1" customWidth="1"/>
    <col min="9" max="11" width="6.59765625" style="1" customWidth="1"/>
    <col min="12" max="16384" width="9" style="1" customWidth="1"/>
  </cols>
  <sheetData>
    <row r="1" spans="1:8" s="2" customFormat="1" ht="21.75" customHeight="1">
      <c r="A1" s="2" t="s">
        <v>64</v>
      </c>
      <c r="H1" s="3" t="s">
        <v>107</v>
      </c>
    </row>
    <row r="2" spans="1:11" s="4" customFormat="1" ht="27" customHeight="1">
      <c r="A2" s="128" t="s">
        <v>265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5" customFormat="1" ht="24.75" customHeight="1">
      <c r="A3" s="140" t="s">
        <v>328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s="2" customFormat="1" ht="25.5" customHeight="1">
      <c r="H4" s="139" t="s">
        <v>17</v>
      </c>
      <c r="I4" s="139"/>
      <c r="J4" s="139"/>
      <c r="K4" s="139"/>
    </row>
    <row r="5" spans="1:11" ht="23.25" customHeight="1">
      <c r="A5" s="138" t="s">
        <v>4</v>
      </c>
      <c r="B5" s="138" t="s">
        <v>102</v>
      </c>
      <c r="C5" s="138" t="s">
        <v>96</v>
      </c>
      <c r="D5" s="138" t="s">
        <v>103</v>
      </c>
      <c r="E5" s="138"/>
      <c r="F5" s="138" t="s">
        <v>97</v>
      </c>
      <c r="G5" s="138" t="s">
        <v>103</v>
      </c>
      <c r="H5" s="138"/>
      <c r="I5" s="138" t="s">
        <v>106</v>
      </c>
      <c r="J5" s="138" t="s">
        <v>100</v>
      </c>
      <c r="K5" s="138"/>
    </row>
    <row r="6" spans="1:11" ht="51.75" customHeight="1">
      <c r="A6" s="138"/>
      <c r="B6" s="138"/>
      <c r="C6" s="138"/>
      <c r="D6" s="7" t="s">
        <v>104</v>
      </c>
      <c r="E6" s="7" t="s">
        <v>105</v>
      </c>
      <c r="F6" s="138"/>
      <c r="G6" s="7" t="s">
        <v>104</v>
      </c>
      <c r="H6" s="7" t="s">
        <v>105</v>
      </c>
      <c r="I6" s="138"/>
      <c r="J6" s="7" t="s">
        <v>104</v>
      </c>
      <c r="K6" s="7" t="s">
        <v>105</v>
      </c>
    </row>
    <row r="7" spans="1:11" ht="18" customHeight="1">
      <c r="A7" s="7"/>
      <c r="B7" s="7" t="s">
        <v>69</v>
      </c>
      <c r="C7" s="62">
        <f aca="true" t="shared" si="0" ref="C7:H7">C8+C29+C32</f>
        <v>586594000</v>
      </c>
      <c r="D7" s="62">
        <f t="shared" si="0"/>
        <v>496538000</v>
      </c>
      <c r="E7" s="62">
        <f t="shared" si="0"/>
        <v>90056000</v>
      </c>
      <c r="F7" s="62">
        <f t="shared" si="0"/>
        <v>990884746.2889999</v>
      </c>
      <c r="G7" s="62">
        <f t="shared" si="0"/>
        <v>827122430.2889999</v>
      </c>
      <c r="H7" s="62">
        <f t="shared" si="0"/>
        <v>163762316</v>
      </c>
      <c r="I7" s="63">
        <f aca="true" t="shared" si="1" ref="I7:K10">F7/C7*100</f>
        <v>168.92173228655594</v>
      </c>
      <c r="J7" s="63">
        <f t="shared" si="1"/>
        <v>166.57787123825364</v>
      </c>
      <c r="K7" s="7">
        <f t="shared" si="1"/>
        <v>181.84498090077287</v>
      </c>
    </row>
    <row r="8" spans="1:11" ht="18" customHeight="1">
      <c r="A8" s="7" t="s">
        <v>0</v>
      </c>
      <c r="B8" s="9" t="s">
        <v>135</v>
      </c>
      <c r="C8" s="62">
        <f aca="true" t="shared" si="2" ref="C8:H8">C9+C12+C27+C28</f>
        <v>586594000</v>
      </c>
      <c r="D8" s="62">
        <f t="shared" si="2"/>
        <v>496538000</v>
      </c>
      <c r="E8" s="62">
        <f t="shared" si="2"/>
        <v>90056000</v>
      </c>
      <c r="F8" s="62">
        <f t="shared" si="2"/>
        <v>676513985.4219999</v>
      </c>
      <c r="G8" s="62">
        <f t="shared" si="2"/>
        <v>555648660.4219999</v>
      </c>
      <c r="H8" s="62">
        <f t="shared" si="2"/>
        <v>120865325</v>
      </c>
      <c r="I8" s="63">
        <f t="shared" si="1"/>
        <v>115.32916896899728</v>
      </c>
      <c r="J8" s="63">
        <f t="shared" si="1"/>
        <v>111.90455925266545</v>
      </c>
      <c r="K8" s="7">
        <f t="shared" si="1"/>
        <v>134.21129630452162</v>
      </c>
    </row>
    <row r="9" spans="1:11" s="121" customFormat="1" ht="18" customHeight="1">
      <c r="A9" s="7" t="s">
        <v>1</v>
      </c>
      <c r="B9" s="22" t="s">
        <v>267</v>
      </c>
      <c r="C9" s="62">
        <f aca="true" t="shared" si="3" ref="C9:H9">SUM(C10:C11)</f>
        <v>107500000</v>
      </c>
      <c r="D9" s="62">
        <f t="shared" si="3"/>
        <v>87100000</v>
      </c>
      <c r="E9" s="62">
        <f t="shared" si="3"/>
        <v>20400000</v>
      </c>
      <c r="F9" s="62">
        <f t="shared" si="3"/>
        <v>112758797.42199999</v>
      </c>
      <c r="G9" s="62">
        <f t="shared" si="3"/>
        <v>89284587.42199999</v>
      </c>
      <c r="H9" s="62">
        <f t="shared" si="3"/>
        <v>23474210</v>
      </c>
      <c r="I9" s="63">
        <f t="shared" si="1"/>
        <v>104.89190457860464</v>
      </c>
      <c r="J9" s="63">
        <f t="shared" si="1"/>
        <v>102.50813710907003</v>
      </c>
      <c r="K9" s="7">
        <f t="shared" si="1"/>
        <v>115.0696568627451</v>
      </c>
    </row>
    <row r="10" spans="1:11" ht="18" customHeight="1">
      <c r="A10" s="13">
        <v>1</v>
      </c>
      <c r="B10" s="24" t="s">
        <v>276</v>
      </c>
      <c r="C10" s="61">
        <f>SUM(D10:E10)</f>
        <v>82000000</v>
      </c>
      <c r="D10" s="61">
        <v>65600000</v>
      </c>
      <c r="E10" s="61">
        <v>16400000</v>
      </c>
      <c r="F10" s="61">
        <f>SUM(G10:H10)</f>
        <v>75371262.42199999</v>
      </c>
      <c r="G10" s="61">
        <f>63461787.422</f>
        <v>63461787.422</v>
      </c>
      <c r="H10" s="61">
        <v>11909475</v>
      </c>
      <c r="I10" s="64">
        <f t="shared" si="1"/>
        <v>91.91617368536585</v>
      </c>
      <c r="J10" s="64">
        <f t="shared" si="1"/>
        <v>96.74052960670731</v>
      </c>
      <c r="K10" s="64">
        <f t="shared" si="1"/>
        <v>72.61875</v>
      </c>
    </row>
    <row r="11" spans="1:11" ht="18" customHeight="1">
      <c r="A11" s="13">
        <v>2</v>
      </c>
      <c r="B11" s="24" t="s">
        <v>268</v>
      </c>
      <c r="C11" s="61">
        <f>SUM(D11:E11)</f>
        <v>25500000</v>
      </c>
      <c r="D11" s="61">
        <v>21500000</v>
      </c>
      <c r="E11" s="61">
        <v>4000000</v>
      </c>
      <c r="F11" s="61">
        <f>SUM(G11:H11)</f>
        <v>37387535</v>
      </c>
      <c r="G11" s="61">
        <v>25822800</v>
      </c>
      <c r="H11" s="61">
        <v>11564735</v>
      </c>
      <c r="I11" s="64">
        <f>F11/C11*100</f>
        <v>146.6177843137255</v>
      </c>
      <c r="J11" s="64">
        <f>G11/D11*100</f>
        <v>120.10604651162791</v>
      </c>
      <c r="K11" s="64">
        <f>H11/E11*100</f>
        <v>289.118375</v>
      </c>
    </row>
    <row r="12" spans="1:11" s="121" customFormat="1" ht="18" customHeight="1">
      <c r="A12" s="7" t="s">
        <v>2</v>
      </c>
      <c r="B12" s="9" t="s">
        <v>18</v>
      </c>
      <c r="C12" s="62">
        <f aca="true" t="shared" si="4" ref="C12:H12">C13+C14+C22+C24+C25+C26</f>
        <v>470394000</v>
      </c>
      <c r="D12" s="62">
        <f t="shared" si="4"/>
        <v>401938000</v>
      </c>
      <c r="E12" s="62">
        <f t="shared" si="4"/>
        <v>68456000</v>
      </c>
      <c r="F12" s="62">
        <f t="shared" si="4"/>
        <v>556474200</v>
      </c>
      <c r="G12" s="62">
        <f t="shared" si="4"/>
        <v>461138835</v>
      </c>
      <c r="H12" s="62">
        <f t="shared" si="4"/>
        <v>95335365</v>
      </c>
      <c r="I12" s="63">
        <f aca="true" t="shared" si="5" ref="I12:I27">F12/C12*100</f>
        <v>118.29959565810788</v>
      </c>
      <c r="J12" s="63">
        <f aca="true" t="shared" si="6" ref="J12:J27">G12/D12*100</f>
        <v>114.7288474839403</v>
      </c>
      <c r="K12" s="63">
        <f>H12/E12*100</f>
        <v>139.26517032838612</v>
      </c>
    </row>
    <row r="13" spans="1:11" ht="19.5" customHeight="1">
      <c r="A13" s="23">
        <v>1</v>
      </c>
      <c r="B13" s="24" t="s">
        <v>274</v>
      </c>
      <c r="C13" s="61">
        <f>SUM(D13:E13)</f>
        <v>0</v>
      </c>
      <c r="D13" s="61">
        <v>0</v>
      </c>
      <c r="E13" s="61">
        <f>SUM(E14:E20)</f>
        <v>0</v>
      </c>
      <c r="F13" s="61">
        <f>SUM(G13:H13)</f>
        <v>1804800</v>
      </c>
      <c r="G13" s="61">
        <v>1804800</v>
      </c>
      <c r="H13" s="61">
        <v>0</v>
      </c>
      <c r="I13" s="64"/>
      <c r="J13" s="64"/>
      <c r="K13" s="64"/>
    </row>
    <row r="14" spans="1:11" ht="19.5" customHeight="1">
      <c r="A14" s="23">
        <v>2</v>
      </c>
      <c r="B14" s="24" t="s">
        <v>20</v>
      </c>
      <c r="C14" s="61">
        <f>SUM(D14:E14)</f>
        <v>28634000</v>
      </c>
      <c r="D14" s="61">
        <f>SUM(D15:D21)</f>
        <v>28634000</v>
      </c>
      <c r="E14" s="61">
        <f>SUM(E15:E21)</f>
        <v>0</v>
      </c>
      <c r="F14" s="61">
        <f aca="true" t="shared" si="7" ref="F14:F32">SUM(G14:H14)</f>
        <v>71521176</v>
      </c>
      <c r="G14" s="61">
        <f>SUM(G15:G21)</f>
        <v>71461844</v>
      </c>
      <c r="H14" s="61">
        <f>SUM(H15:H21)</f>
        <v>59332</v>
      </c>
      <c r="I14" s="64">
        <f t="shared" si="5"/>
        <v>249.7771041419292</v>
      </c>
      <c r="J14" s="64">
        <f t="shared" si="6"/>
        <v>249.56989592791788</v>
      </c>
      <c r="K14" s="64"/>
    </row>
    <row r="15" spans="1:11" ht="19.5" customHeight="1">
      <c r="A15" s="32" t="s">
        <v>39</v>
      </c>
      <c r="B15" s="24" t="s">
        <v>269</v>
      </c>
      <c r="C15" s="61">
        <f aca="true" t="shared" si="8" ref="C15:C32">SUM(D15:E15)</f>
        <v>12272000</v>
      </c>
      <c r="D15" s="61">
        <v>12272000</v>
      </c>
      <c r="E15" s="61">
        <v>0</v>
      </c>
      <c r="F15" s="61">
        <f t="shared" si="7"/>
        <v>10692860</v>
      </c>
      <c r="G15" s="61">
        <v>10633528</v>
      </c>
      <c r="H15" s="61">
        <v>59332</v>
      </c>
      <c r="I15" s="64">
        <f t="shared" si="5"/>
        <v>87.13217079530638</v>
      </c>
      <c r="J15" s="64">
        <f t="shared" si="6"/>
        <v>86.6486962190352</v>
      </c>
      <c r="K15" s="64"/>
    </row>
    <row r="16" spans="1:11" ht="19.5" customHeight="1">
      <c r="A16" s="32" t="s">
        <v>39</v>
      </c>
      <c r="B16" s="24" t="s">
        <v>270</v>
      </c>
      <c r="C16" s="61">
        <f>SUM(D16:E16)</f>
        <v>1714000</v>
      </c>
      <c r="D16" s="61">
        <v>1714000</v>
      </c>
      <c r="E16" s="61">
        <v>0</v>
      </c>
      <c r="F16" s="61">
        <f>SUM(G16:H16)</f>
        <v>2580548</v>
      </c>
      <c r="G16" s="91">
        <v>2580548</v>
      </c>
      <c r="H16" s="61">
        <v>0</v>
      </c>
      <c r="I16" s="64">
        <f>F16/C16*100</f>
        <v>150.5570595099183</v>
      </c>
      <c r="J16" s="64">
        <f>G16/D16*100</f>
        <v>150.5570595099183</v>
      </c>
      <c r="K16" s="64"/>
    </row>
    <row r="17" spans="1:11" ht="19.5" customHeight="1">
      <c r="A17" s="32" t="s">
        <v>39</v>
      </c>
      <c r="B17" s="24" t="s">
        <v>50</v>
      </c>
      <c r="C17" s="61">
        <f t="shared" si="8"/>
        <v>2038000</v>
      </c>
      <c r="D17" s="61">
        <v>2038000</v>
      </c>
      <c r="E17" s="61">
        <v>0</v>
      </c>
      <c r="F17" s="61">
        <f t="shared" si="7"/>
        <v>1948944</v>
      </c>
      <c r="G17" s="91">
        <v>1948944</v>
      </c>
      <c r="H17" s="61">
        <v>0</v>
      </c>
      <c r="I17" s="64">
        <f t="shared" si="5"/>
        <v>95.63022571148184</v>
      </c>
      <c r="J17" s="64">
        <f t="shared" si="6"/>
        <v>95.63022571148184</v>
      </c>
      <c r="K17" s="64"/>
    </row>
    <row r="18" spans="1:11" ht="19.5" customHeight="1">
      <c r="A18" s="32" t="s">
        <v>39</v>
      </c>
      <c r="B18" s="24" t="s">
        <v>71</v>
      </c>
      <c r="C18" s="61">
        <f t="shared" si="8"/>
        <v>11500000</v>
      </c>
      <c r="D18" s="61">
        <v>11500000</v>
      </c>
      <c r="E18" s="61">
        <v>0</v>
      </c>
      <c r="F18" s="61">
        <f t="shared" si="7"/>
        <v>6013911</v>
      </c>
      <c r="G18" s="61">
        <v>6013911</v>
      </c>
      <c r="H18" s="61">
        <v>0</v>
      </c>
      <c r="I18" s="64">
        <f t="shared" si="5"/>
        <v>52.294878260869574</v>
      </c>
      <c r="J18" s="64">
        <f t="shared" si="6"/>
        <v>52.294878260869574</v>
      </c>
      <c r="K18" s="64"/>
    </row>
    <row r="19" spans="1:11" ht="19.5" customHeight="1">
      <c r="A19" s="32" t="s">
        <v>39</v>
      </c>
      <c r="B19" s="24" t="s">
        <v>271</v>
      </c>
      <c r="C19" s="61">
        <f t="shared" si="8"/>
        <v>210000</v>
      </c>
      <c r="D19" s="61">
        <v>210000</v>
      </c>
      <c r="E19" s="61">
        <v>0</v>
      </c>
      <c r="F19" s="61">
        <f t="shared" si="7"/>
        <v>210000</v>
      </c>
      <c r="G19" s="61">
        <v>210000</v>
      </c>
      <c r="H19" s="61">
        <v>0</v>
      </c>
      <c r="I19" s="64">
        <f t="shared" si="5"/>
        <v>100</v>
      </c>
      <c r="J19" s="64">
        <f t="shared" si="6"/>
        <v>100</v>
      </c>
      <c r="K19" s="64"/>
    </row>
    <row r="20" spans="1:11" ht="19.5" customHeight="1">
      <c r="A20" s="32" t="s">
        <v>39</v>
      </c>
      <c r="B20" s="120" t="s">
        <v>272</v>
      </c>
      <c r="C20" s="61">
        <f>SUM(D20:E20)</f>
        <v>200000</v>
      </c>
      <c r="D20" s="61">
        <v>200000</v>
      </c>
      <c r="E20" s="61">
        <v>0</v>
      </c>
      <c r="F20" s="61">
        <f>SUM(G20:H20)</f>
        <v>200000</v>
      </c>
      <c r="G20" s="61">
        <v>200000</v>
      </c>
      <c r="H20" s="61">
        <v>0</v>
      </c>
      <c r="I20" s="64">
        <f>F20/C20*100</f>
        <v>100</v>
      </c>
      <c r="J20" s="64">
        <f>G20/D20*100</f>
        <v>100</v>
      </c>
      <c r="K20" s="64"/>
    </row>
    <row r="21" spans="1:11" ht="19.5" customHeight="1">
      <c r="A21" s="32" t="s">
        <v>39</v>
      </c>
      <c r="B21" s="24" t="s">
        <v>72</v>
      </c>
      <c r="C21" s="61">
        <f t="shared" si="8"/>
        <v>700000</v>
      </c>
      <c r="D21" s="61">
        <v>700000</v>
      </c>
      <c r="E21" s="61">
        <v>0</v>
      </c>
      <c r="F21" s="61">
        <f t="shared" si="7"/>
        <v>49874913</v>
      </c>
      <c r="G21" s="61">
        <v>49874913</v>
      </c>
      <c r="H21" s="61">
        <v>0</v>
      </c>
      <c r="I21" s="64">
        <f t="shared" si="5"/>
        <v>7124.987571428571</v>
      </c>
      <c r="J21" s="64">
        <f t="shared" si="6"/>
        <v>7124.987571428571</v>
      </c>
      <c r="K21" s="64"/>
    </row>
    <row r="22" spans="1:11" ht="19.5" customHeight="1">
      <c r="A22" s="23">
        <v>3</v>
      </c>
      <c r="B22" s="24" t="s">
        <v>28</v>
      </c>
      <c r="C22" s="61">
        <f t="shared" si="8"/>
        <v>341725000</v>
      </c>
      <c r="D22" s="61">
        <v>337728000</v>
      </c>
      <c r="E22" s="61">
        <v>3997000</v>
      </c>
      <c r="F22" s="61">
        <f t="shared" si="7"/>
        <v>352124615</v>
      </c>
      <c r="G22" s="61">
        <v>340696113</v>
      </c>
      <c r="H22" s="61">
        <v>11428502</v>
      </c>
      <c r="I22" s="64">
        <f t="shared" si="5"/>
        <v>103.04327017338504</v>
      </c>
      <c r="J22" s="64">
        <f t="shared" si="6"/>
        <v>100.87884717879476</v>
      </c>
      <c r="K22" s="64">
        <f aca="true" t="shared" si="9" ref="K22:K27">H22/E22*100</f>
        <v>285.9269952464348</v>
      </c>
    </row>
    <row r="23" spans="1:11" ht="19.5" customHeight="1">
      <c r="A23" s="23"/>
      <c r="B23" s="24" t="s">
        <v>273</v>
      </c>
      <c r="C23" s="61">
        <f t="shared" si="8"/>
        <v>279875000</v>
      </c>
      <c r="D23" s="61">
        <f>278300000+1092000</f>
        <v>279392000</v>
      </c>
      <c r="E23" s="61">
        <v>483000</v>
      </c>
      <c r="F23" s="61">
        <f t="shared" si="7"/>
        <v>280891727</v>
      </c>
      <c r="G23" s="61">
        <f>279547895+1062999</f>
        <v>280610894</v>
      </c>
      <c r="H23" s="61">
        <v>280833</v>
      </c>
      <c r="I23" s="64">
        <f t="shared" si="5"/>
        <v>100.36327896382313</v>
      </c>
      <c r="J23" s="64">
        <f t="shared" si="6"/>
        <v>100.43626660749054</v>
      </c>
      <c r="K23" s="64">
        <f t="shared" si="9"/>
        <v>58.143478260869564</v>
      </c>
    </row>
    <row r="24" spans="1:11" ht="19.5" customHeight="1">
      <c r="A24" s="23">
        <v>4</v>
      </c>
      <c r="B24" s="24" t="s">
        <v>29</v>
      </c>
      <c r="C24" s="61">
        <f t="shared" si="8"/>
        <v>89373000</v>
      </c>
      <c r="D24" s="61">
        <v>31236000</v>
      </c>
      <c r="E24" s="61">
        <v>58137000</v>
      </c>
      <c r="F24" s="61">
        <f t="shared" si="7"/>
        <v>98393980</v>
      </c>
      <c r="G24" s="61">
        <v>30823086</v>
      </c>
      <c r="H24" s="61">
        <v>67570894</v>
      </c>
      <c r="I24" s="64">
        <f t="shared" si="5"/>
        <v>110.09363006724627</v>
      </c>
      <c r="J24" s="64">
        <f t="shared" si="6"/>
        <v>98.67808298117556</v>
      </c>
      <c r="K24" s="64">
        <f t="shared" si="9"/>
        <v>116.22700517742575</v>
      </c>
    </row>
    <row r="25" spans="1:11" ht="19.5" customHeight="1">
      <c r="A25" s="23">
        <v>5</v>
      </c>
      <c r="B25" s="24" t="s">
        <v>30</v>
      </c>
      <c r="C25" s="61">
        <f t="shared" si="8"/>
        <v>8972000</v>
      </c>
      <c r="D25" s="61">
        <v>3000000</v>
      </c>
      <c r="E25" s="61">
        <v>5972000</v>
      </c>
      <c r="F25" s="61">
        <f t="shared" si="7"/>
        <v>19204156</v>
      </c>
      <c r="G25" s="61">
        <v>12765000</v>
      </c>
      <c r="H25" s="61">
        <v>6439156</v>
      </c>
      <c r="I25" s="64">
        <f t="shared" si="5"/>
        <v>214.04543022737403</v>
      </c>
      <c r="J25" s="64">
        <f t="shared" si="6"/>
        <v>425.5</v>
      </c>
      <c r="K25" s="64">
        <f t="shared" si="9"/>
        <v>107.82243804420631</v>
      </c>
    </row>
    <row r="26" spans="1:11" ht="19.5" customHeight="1">
      <c r="A26" s="23">
        <v>6</v>
      </c>
      <c r="B26" s="24" t="s">
        <v>19</v>
      </c>
      <c r="C26" s="61">
        <f t="shared" si="8"/>
        <v>1690000</v>
      </c>
      <c r="D26" s="61">
        <v>1340000</v>
      </c>
      <c r="E26" s="61">
        <v>350000</v>
      </c>
      <c r="F26" s="61">
        <f t="shared" si="7"/>
        <v>13425473</v>
      </c>
      <c r="G26" s="61">
        <v>3587992</v>
      </c>
      <c r="H26" s="61">
        <v>9837481</v>
      </c>
      <c r="I26" s="64">
        <f t="shared" si="5"/>
        <v>794.4066863905325</v>
      </c>
      <c r="J26" s="64">
        <f t="shared" si="6"/>
        <v>267.76059701492534</v>
      </c>
      <c r="K26" s="64">
        <f t="shared" si="9"/>
        <v>2810.708857142857</v>
      </c>
    </row>
    <row r="27" spans="1:11" s="121" customFormat="1" ht="19.5" customHeight="1">
      <c r="A27" s="7" t="s">
        <v>11</v>
      </c>
      <c r="B27" s="9" t="s">
        <v>132</v>
      </c>
      <c r="C27" s="62">
        <f t="shared" si="8"/>
        <v>8700000</v>
      </c>
      <c r="D27" s="62">
        <v>7500000</v>
      </c>
      <c r="E27" s="62">
        <v>1200000</v>
      </c>
      <c r="F27" s="62">
        <f t="shared" si="7"/>
        <v>0</v>
      </c>
      <c r="G27" s="62">
        <v>0</v>
      </c>
      <c r="H27" s="62">
        <v>0</v>
      </c>
      <c r="I27" s="63">
        <f t="shared" si="5"/>
        <v>0</v>
      </c>
      <c r="J27" s="63">
        <f t="shared" si="6"/>
        <v>0</v>
      </c>
      <c r="K27" s="63">
        <f t="shared" si="9"/>
        <v>0</v>
      </c>
    </row>
    <row r="28" spans="1:11" s="121" customFormat="1" ht="19.5" customHeight="1">
      <c r="A28" s="7" t="s">
        <v>26</v>
      </c>
      <c r="B28" s="9" t="s">
        <v>63</v>
      </c>
      <c r="C28" s="62">
        <f t="shared" si="8"/>
        <v>0</v>
      </c>
      <c r="D28" s="62">
        <v>0</v>
      </c>
      <c r="E28" s="62">
        <v>0</v>
      </c>
      <c r="F28" s="62">
        <f t="shared" si="7"/>
        <v>7280988</v>
      </c>
      <c r="G28" s="62">
        <v>5225238</v>
      </c>
      <c r="H28" s="62">
        <v>2055750</v>
      </c>
      <c r="I28" s="63"/>
      <c r="J28" s="63"/>
      <c r="K28" s="63"/>
    </row>
    <row r="29" spans="1:11" s="123" customFormat="1" ht="19.5" customHeight="1">
      <c r="A29" s="122" t="s">
        <v>3</v>
      </c>
      <c r="B29" s="9" t="s">
        <v>133</v>
      </c>
      <c r="C29" s="62">
        <f t="shared" si="8"/>
        <v>0</v>
      </c>
      <c r="D29" s="62">
        <f>SUM(D30:D31)</f>
        <v>0</v>
      </c>
      <c r="E29" s="62">
        <v>0</v>
      </c>
      <c r="F29" s="62">
        <f>SUM(F30:F31)</f>
        <v>6664857</v>
      </c>
      <c r="G29" s="62">
        <f>SUM(G30:G31)</f>
        <v>5694857</v>
      </c>
      <c r="H29" s="62">
        <f>SUM(H30:H31)</f>
        <v>970000</v>
      </c>
      <c r="I29" s="63"/>
      <c r="J29" s="63"/>
      <c r="K29" s="63"/>
    </row>
    <row r="30" spans="1:11" s="123" customFormat="1" ht="19.5" customHeight="1">
      <c r="A30" s="122" t="s">
        <v>1</v>
      </c>
      <c r="B30" s="9" t="s">
        <v>91</v>
      </c>
      <c r="C30" s="62">
        <f t="shared" si="8"/>
        <v>0</v>
      </c>
      <c r="D30" s="62">
        <v>0</v>
      </c>
      <c r="E30" s="62">
        <v>0</v>
      </c>
      <c r="F30" s="62">
        <f t="shared" si="7"/>
        <v>1629692</v>
      </c>
      <c r="G30" s="62">
        <f>615800+43892</f>
        <v>659692</v>
      </c>
      <c r="H30" s="62">
        <v>970000</v>
      </c>
      <c r="I30" s="63"/>
      <c r="J30" s="63"/>
      <c r="K30" s="63"/>
    </row>
    <row r="31" spans="1:11" s="123" customFormat="1" ht="19.5" customHeight="1">
      <c r="A31" s="122" t="s">
        <v>2</v>
      </c>
      <c r="B31" s="9" t="s">
        <v>92</v>
      </c>
      <c r="C31" s="62">
        <f t="shared" si="8"/>
        <v>0</v>
      </c>
      <c r="D31" s="62">
        <v>0</v>
      </c>
      <c r="E31" s="62">
        <v>0</v>
      </c>
      <c r="F31" s="62">
        <f t="shared" si="7"/>
        <v>5035165</v>
      </c>
      <c r="G31" s="62">
        <f>'96 CĐ r'!D25</f>
        <v>5035165</v>
      </c>
      <c r="H31" s="93">
        <v>0</v>
      </c>
      <c r="I31" s="63"/>
      <c r="J31" s="63"/>
      <c r="K31" s="63"/>
    </row>
    <row r="32" spans="1:11" s="123" customFormat="1" ht="19.5" customHeight="1">
      <c r="A32" s="12" t="s">
        <v>68</v>
      </c>
      <c r="B32" s="9" t="s">
        <v>134</v>
      </c>
      <c r="C32" s="62">
        <f t="shared" si="8"/>
        <v>0</v>
      </c>
      <c r="D32" s="62">
        <v>0</v>
      </c>
      <c r="E32" s="62">
        <v>0</v>
      </c>
      <c r="F32" s="62">
        <f t="shared" si="7"/>
        <v>307705903.867</v>
      </c>
      <c r="G32" s="62">
        <v>265778912.867</v>
      </c>
      <c r="H32" s="92">
        <v>41926991</v>
      </c>
      <c r="I32" s="63"/>
      <c r="J32" s="63"/>
      <c r="K32" s="63"/>
    </row>
    <row r="34" ht="18.75" customHeight="1">
      <c r="F34" s="124"/>
    </row>
  </sheetData>
  <sheetProtection/>
  <mergeCells count="11">
    <mergeCell ref="D5:E5"/>
    <mergeCell ref="F5:F6"/>
    <mergeCell ref="G5:H5"/>
    <mergeCell ref="H4:K4"/>
    <mergeCell ref="J5:K5"/>
    <mergeCell ref="I5:I6"/>
    <mergeCell ref="A2:K2"/>
    <mergeCell ref="A3:K3"/>
    <mergeCell ref="A5:A6"/>
    <mergeCell ref="B5:B6"/>
    <mergeCell ref="C5:C6"/>
  </mergeCells>
  <printOptions horizontalCentered="1"/>
  <pageMargins left="0.07874015748031496" right="0" top="0.5118110236220472" bottom="0.2755905511811024" header="0.5118110236220472" footer="0.5118110236220472"/>
  <pageSetup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zoomScalePageLayoutView="0" workbookViewId="0" topLeftCell="A25">
      <selection activeCell="F1" sqref="F1:F16384"/>
    </sheetView>
  </sheetViews>
  <sheetFormatPr defaultColWidth="9" defaultRowHeight="18.75" customHeight="1"/>
  <cols>
    <col min="1" max="1" width="6.8984375" style="27" customWidth="1"/>
    <col min="2" max="2" width="42.796875" style="25" customWidth="1"/>
    <col min="3" max="4" width="11.59765625" style="25" customWidth="1"/>
    <col min="5" max="5" width="5.796875" style="25" customWidth="1"/>
    <col min="6" max="6" width="16.296875" style="25" customWidth="1"/>
    <col min="7" max="7" width="10.8984375" style="25" bestFit="1" customWidth="1"/>
    <col min="8" max="16384" width="9" style="25" customWidth="1"/>
  </cols>
  <sheetData>
    <row r="1" spans="1:5" s="2" customFormat="1" ht="21.75" customHeight="1">
      <c r="A1" s="2" t="s">
        <v>64</v>
      </c>
      <c r="D1" s="3" t="s">
        <v>108</v>
      </c>
      <c r="E1" s="3"/>
    </row>
    <row r="2" spans="1:5" s="4" customFormat="1" ht="24" customHeight="1">
      <c r="A2" s="128" t="s">
        <v>323</v>
      </c>
      <c r="B2" s="128"/>
      <c r="C2" s="128"/>
      <c r="D2" s="128"/>
      <c r="E2" s="128"/>
    </row>
    <row r="3" spans="1:6" s="5" customFormat="1" ht="22.5" customHeight="1">
      <c r="A3" s="140" t="s">
        <v>166</v>
      </c>
      <c r="B3" s="140"/>
      <c r="C3" s="140"/>
      <c r="D3" s="140"/>
      <c r="E3" s="140"/>
      <c r="F3" s="102"/>
    </row>
    <row r="4" spans="3:5" s="2" customFormat="1" ht="21.75" customHeight="1">
      <c r="C4" s="99"/>
      <c r="D4" s="3" t="s">
        <v>17</v>
      </c>
      <c r="E4" s="3"/>
    </row>
    <row r="5" spans="1:5" s="53" customFormat="1" ht="51.75" customHeight="1">
      <c r="A5" s="39" t="s">
        <v>94</v>
      </c>
      <c r="B5" s="39" t="s">
        <v>102</v>
      </c>
      <c r="C5" s="39" t="s">
        <v>96</v>
      </c>
      <c r="D5" s="39" t="s">
        <v>97</v>
      </c>
      <c r="E5" s="39" t="s">
        <v>100</v>
      </c>
    </row>
    <row r="6" spans="1:5" ht="21" customHeight="1">
      <c r="A6" s="7"/>
      <c r="B6" s="7" t="s">
        <v>69</v>
      </c>
      <c r="C6" s="62">
        <f>C7+C28+C31</f>
        <v>496538000</v>
      </c>
      <c r="D6" s="62">
        <f>D7+D28+D31</f>
        <v>827122430.2889999</v>
      </c>
      <c r="E6" s="65">
        <f>D6/C6*100</f>
        <v>166.57787123825364</v>
      </c>
    </row>
    <row r="7" spans="1:5" ht="21" customHeight="1">
      <c r="A7" s="7" t="s">
        <v>0</v>
      </c>
      <c r="B7" s="9" t="s">
        <v>135</v>
      </c>
      <c r="C7" s="62">
        <f>C8+C11+C26+C27</f>
        <v>496538000</v>
      </c>
      <c r="D7" s="62">
        <f>D8+D11+D26+D27</f>
        <v>555648660.4219999</v>
      </c>
      <c r="E7" s="65">
        <f aca="true" t="shared" si="0" ref="E7:E26">D7/C7*100</f>
        <v>111.90455925266545</v>
      </c>
    </row>
    <row r="8" spans="1:5" ht="21" customHeight="1">
      <c r="A8" s="7" t="s">
        <v>1</v>
      </c>
      <c r="B8" s="22" t="s">
        <v>34</v>
      </c>
      <c r="C8" s="62">
        <f>SUM(C9:C10)</f>
        <v>87100000</v>
      </c>
      <c r="D8" s="62">
        <f>SUM(D9:D10)</f>
        <v>89284587.42199999</v>
      </c>
      <c r="E8" s="65">
        <f t="shared" si="0"/>
        <v>102.50813710907003</v>
      </c>
    </row>
    <row r="9" spans="1:5" ht="21" customHeight="1">
      <c r="A9" s="13">
        <v>1</v>
      </c>
      <c r="B9" s="24" t="s">
        <v>27</v>
      </c>
      <c r="C9" s="61">
        <f>'98 chi r'!D10</f>
        <v>65600000</v>
      </c>
      <c r="D9" s="61">
        <f>'98 chi r'!G10</f>
        <v>63461787.422</v>
      </c>
      <c r="E9" s="66">
        <f t="shared" si="0"/>
        <v>96.74052960670731</v>
      </c>
    </row>
    <row r="10" spans="1:5" ht="21" customHeight="1">
      <c r="A10" s="13">
        <v>2</v>
      </c>
      <c r="B10" s="24" t="s">
        <v>268</v>
      </c>
      <c r="C10" s="61">
        <v>21500000</v>
      </c>
      <c r="D10" s="61">
        <v>25822800</v>
      </c>
      <c r="E10" s="66">
        <f t="shared" si="0"/>
        <v>120.10604651162791</v>
      </c>
    </row>
    <row r="11" spans="1:6" ht="21" customHeight="1">
      <c r="A11" s="7" t="s">
        <v>2</v>
      </c>
      <c r="B11" s="9" t="s">
        <v>18</v>
      </c>
      <c r="C11" s="62">
        <f>C12+C13+C21+C23+C24+C25</f>
        <v>401938000</v>
      </c>
      <c r="D11" s="62">
        <f>D12+D13+D21+D23+D24+D25</f>
        <v>461138835</v>
      </c>
      <c r="E11" s="65">
        <f t="shared" si="0"/>
        <v>114.7288474839403</v>
      </c>
      <c r="F11" s="116"/>
    </row>
    <row r="12" spans="1:5" ht="21" customHeight="1">
      <c r="A12" s="23">
        <v>1</v>
      </c>
      <c r="B12" s="24" t="s">
        <v>274</v>
      </c>
      <c r="C12" s="62"/>
      <c r="D12" s="61">
        <f>'98 chi r'!G13</f>
        <v>1804800</v>
      </c>
      <c r="E12" s="65"/>
    </row>
    <row r="13" spans="1:5" ht="21" customHeight="1">
      <c r="A13" s="23">
        <v>2</v>
      </c>
      <c r="B13" s="24" t="s">
        <v>20</v>
      </c>
      <c r="C13" s="61">
        <f>SUM(C14:C20)</f>
        <v>28634000</v>
      </c>
      <c r="D13" s="61">
        <f>SUM(D14:D20)</f>
        <v>71461844</v>
      </c>
      <c r="E13" s="66">
        <f t="shared" si="0"/>
        <v>249.56989592791788</v>
      </c>
    </row>
    <row r="14" spans="1:5" ht="21" customHeight="1">
      <c r="A14" s="32" t="s">
        <v>39</v>
      </c>
      <c r="B14" s="24" t="s">
        <v>269</v>
      </c>
      <c r="C14" s="61">
        <v>12272000</v>
      </c>
      <c r="D14" s="61">
        <f>'98 chi r'!G15</f>
        <v>10633528</v>
      </c>
      <c r="E14" s="66">
        <f t="shared" si="0"/>
        <v>86.6486962190352</v>
      </c>
    </row>
    <row r="15" spans="1:5" s="26" customFormat="1" ht="21" customHeight="1">
      <c r="A15" s="32" t="s">
        <v>39</v>
      </c>
      <c r="B15" s="24" t="s">
        <v>270</v>
      </c>
      <c r="C15" s="61">
        <v>1714000</v>
      </c>
      <c r="D15" s="61">
        <f>'98 chi r'!G16</f>
        <v>2580548</v>
      </c>
      <c r="E15" s="66">
        <f t="shared" si="0"/>
        <v>150.5570595099183</v>
      </c>
    </row>
    <row r="16" spans="1:5" s="26" customFormat="1" ht="21" customHeight="1">
      <c r="A16" s="32" t="s">
        <v>39</v>
      </c>
      <c r="B16" s="24" t="s">
        <v>50</v>
      </c>
      <c r="C16" s="61">
        <v>2038000</v>
      </c>
      <c r="D16" s="61">
        <f>'98 chi r'!G17</f>
        <v>1948944</v>
      </c>
      <c r="E16" s="66">
        <f t="shared" si="0"/>
        <v>95.63022571148184</v>
      </c>
    </row>
    <row r="17" spans="1:5" ht="21" customHeight="1">
      <c r="A17" s="32" t="s">
        <v>39</v>
      </c>
      <c r="B17" s="24" t="s">
        <v>71</v>
      </c>
      <c r="C17" s="61">
        <v>11500000</v>
      </c>
      <c r="D17" s="61">
        <f>'98 chi r'!G18</f>
        <v>6013911</v>
      </c>
      <c r="E17" s="66">
        <f t="shared" si="0"/>
        <v>52.294878260869574</v>
      </c>
    </row>
    <row r="18" spans="1:5" ht="21" customHeight="1">
      <c r="A18" s="32" t="s">
        <v>39</v>
      </c>
      <c r="B18" s="24" t="s">
        <v>271</v>
      </c>
      <c r="C18" s="61">
        <v>210000</v>
      </c>
      <c r="D18" s="61">
        <f>'98 chi r'!G19</f>
        <v>210000</v>
      </c>
      <c r="E18" s="66"/>
    </row>
    <row r="19" spans="1:5" ht="21" customHeight="1">
      <c r="A19" s="32" t="s">
        <v>39</v>
      </c>
      <c r="B19" s="24" t="s">
        <v>272</v>
      </c>
      <c r="C19" s="61">
        <v>200000</v>
      </c>
      <c r="D19" s="61">
        <f>'98 chi r'!G20</f>
        <v>200000</v>
      </c>
      <c r="E19" s="66"/>
    </row>
    <row r="20" spans="1:5" ht="21" customHeight="1">
      <c r="A20" s="32" t="s">
        <v>39</v>
      </c>
      <c r="B20" s="24" t="s">
        <v>72</v>
      </c>
      <c r="C20" s="61">
        <v>700000</v>
      </c>
      <c r="D20" s="61">
        <f>'98 chi r'!G21</f>
        <v>49874913</v>
      </c>
      <c r="E20" s="66"/>
    </row>
    <row r="21" spans="1:5" ht="21" customHeight="1">
      <c r="A21" s="23">
        <v>3</v>
      </c>
      <c r="B21" s="24" t="s">
        <v>28</v>
      </c>
      <c r="C21" s="61">
        <f>'98 chi r'!D22</f>
        <v>337728000</v>
      </c>
      <c r="D21" s="61">
        <f>'98 chi r'!G22</f>
        <v>340696113</v>
      </c>
      <c r="E21" s="66">
        <f t="shared" si="0"/>
        <v>100.87884717879476</v>
      </c>
    </row>
    <row r="22" spans="1:5" s="28" customFormat="1" ht="21" customHeight="1">
      <c r="A22" s="23"/>
      <c r="B22" s="24" t="s">
        <v>31</v>
      </c>
      <c r="C22" s="61">
        <f>'98 chi r'!D23</f>
        <v>279392000</v>
      </c>
      <c r="D22" s="61">
        <f>'98 chi r'!G23</f>
        <v>280610894</v>
      </c>
      <c r="E22" s="66">
        <f t="shared" si="0"/>
        <v>100.43626660749054</v>
      </c>
    </row>
    <row r="23" spans="1:5" s="28" customFormat="1" ht="21" customHeight="1">
      <c r="A23" s="23">
        <v>4</v>
      </c>
      <c r="B23" s="24" t="s">
        <v>29</v>
      </c>
      <c r="C23" s="61">
        <f>'98 chi r'!D24</f>
        <v>31236000</v>
      </c>
      <c r="D23" s="61">
        <f>'98 chi r'!G24</f>
        <v>30823086</v>
      </c>
      <c r="E23" s="66">
        <f t="shared" si="0"/>
        <v>98.67808298117556</v>
      </c>
    </row>
    <row r="24" spans="1:5" s="28" customFormat="1" ht="21" customHeight="1">
      <c r="A24" s="23">
        <v>5</v>
      </c>
      <c r="B24" s="24" t="s">
        <v>30</v>
      </c>
      <c r="C24" s="61">
        <f>'98 chi r'!D25</f>
        <v>3000000</v>
      </c>
      <c r="D24" s="61">
        <f>'98 chi r'!G25</f>
        <v>12765000</v>
      </c>
      <c r="E24" s="66">
        <f t="shared" si="0"/>
        <v>425.5</v>
      </c>
    </row>
    <row r="25" spans="1:5" ht="21" customHeight="1">
      <c r="A25" s="23">
        <v>6</v>
      </c>
      <c r="B25" s="24" t="s">
        <v>19</v>
      </c>
      <c r="C25" s="61">
        <f>'98 chi r'!D26</f>
        <v>1340000</v>
      </c>
      <c r="D25" s="61">
        <f>'98 chi r'!G26</f>
        <v>3587992</v>
      </c>
      <c r="E25" s="66">
        <f t="shared" si="0"/>
        <v>267.76059701492534</v>
      </c>
    </row>
    <row r="26" spans="1:5" ht="21" customHeight="1">
      <c r="A26" s="7" t="s">
        <v>11</v>
      </c>
      <c r="B26" s="9" t="s">
        <v>132</v>
      </c>
      <c r="C26" s="62">
        <f>'98 chi r'!D27</f>
        <v>7500000</v>
      </c>
      <c r="D26" s="62">
        <v>0</v>
      </c>
      <c r="E26" s="65">
        <f t="shared" si="0"/>
        <v>0</v>
      </c>
    </row>
    <row r="27" spans="1:5" ht="21" customHeight="1">
      <c r="A27" s="7" t="s">
        <v>51</v>
      </c>
      <c r="B27" s="9" t="s">
        <v>63</v>
      </c>
      <c r="C27" s="62"/>
      <c r="D27" s="62">
        <f>'98 chi r'!G28</f>
        <v>5225238</v>
      </c>
      <c r="E27" s="10"/>
    </row>
    <row r="28" spans="1:5" ht="21" customHeight="1">
      <c r="A28" s="7" t="s">
        <v>3</v>
      </c>
      <c r="B28" s="9" t="s">
        <v>133</v>
      </c>
      <c r="C28" s="62"/>
      <c r="D28" s="62">
        <f>SUM(D29:D30)</f>
        <v>5694857</v>
      </c>
      <c r="E28" s="10"/>
    </row>
    <row r="29" spans="1:6" ht="21" customHeight="1">
      <c r="A29" s="7" t="s">
        <v>1</v>
      </c>
      <c r="B29" s="9" t="s">
        <v>91</v>
      </c>
      <c r="C29" s="62"/>
      <c r="D29" s="62">
        <f>'98 chi r'!G30</f>
        <v>659692</v>
      </c>
      <c r="E29" s="10"/>
      <c r="F29" s="116"/>
    </row>
    <row r="30" spans="1:5" ht="21" customHeight="1">
      <c r="A30" s="7" t="s">
        <v>2</v>
      </c>
      <c r="B30" s="9" t="s">
        <v>92</v>
      </c>
      <c r="C30" s="62"/>
      <c r="D30" s="62">
        <f>'98 chi r'!G31</f>
        <v>5035165</v>
      </c>
      <c r="E30" s="10"/>
    </row>
    <row r="31" spans="1:5" ht="21" customHeight="1">
      <c r="A31" s="7" t="s">
        <v>68</v>
      </c>
      <c r="B31" s="9" t="s">
        <v>134</v>
      </c>
      <c r="C31" s="62"/>
      <c r="D31" s="62">
        <f>'98 chi r'!G32</f>
        <v>265778912.867</v>
      </c>
      <c r="E31" s="10"/>
    </row>
  </sheetData>
  <sheetProtection/>
  <mergeCells count="2">
    <mergeCell ref="A2:E2"/>
    <mergeCell ref="A3:E3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B1">
      <pane xSplit="4215" ySplit="4065" topLeftCell="A52" activePane="topLeft" state="split"/>
      <selection pane="topLeft" activeCell="A3" sqref="A3:O3"/>
      <selection pane="topRight" activeCell="A3" sqref="A3:O3"/>
      <selection pane="bottomLeft" activeCell="B108" sqref="B108"/>
      <selection pane="bottomRight" activeCell="R109" sqref="R109"/>
    </sheetView>
  </sheetViews>
  <sheetFormatPr defaultColWidth="9" defaultRowHeight="15"/>
  <cols>
    <col min="1" max="1" width="4.3984375" style="95" customWidth="1"/>
    <col min="2" max="2" width="23" style="96" customWidth="1"/>
    <col min="3" max="8" width="10.3984375" style="68" hidden="1" customWidth="1"/>
    <col min="9" max="9" width="8.3984375" style="68" customWidth="1"/>
    <col min="10" max="10" width="8.8984375" style="68" customWidth="1"/>
    <col min="11" max="11" width="8.59765625" style="68" customWidth="1"/>
    <col min="12" max="12" width="10.296875" style="68" customWidth="1"/>
    <col min="13" max="13" width="6.19921875" style="85" customWidth="1"/>
    <col min="14" max="14" width="6.19921875" style="68" customWidth="1"/>
    <col min="15" max="15" width="6.796875" style="68" customWidth="1"/>
    <col min="16" max="16" width="11.8984375" style="67" bestFit="1" customWidth="1"/>
    <col min="17" max="17" width="13.796875" style="67" customWidth="1"/>
    <col min="18" max="16384" width="9" style="67" customWidth="1"/>
  </cols>
  <sheetData>
    <row r="1" spans="1:15" ht="16.5">
      <c r="A1" s="98" t="s">
        <v>64</v>
      </c>
      <c r="E1" s="113"/>
      <c r="L1" s="41" t="s">
        <v>109</v>
      </c>
      <c r="M1" s="82"/>
      <c r="N1" s="143"/>
      <c r="O1" s="143"/>
    </row>
    <row r="2" spans="1:15" s="69" customFormat="1" ht="18.75" customHeight="1">
      <c r="A2" s="144" t="s">
        <v>321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s="70" customFormat="1" ht="24" customHeight="1">
      <c r="A3" s="145" t="s">
        <v>324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6:15" ht="23.25" customHeight="1">
      <c r="F4" s="114"/>
      <c r="G4" s="117"/>
      <c r="L4" s="146" t="s">
        <v>252</v>
      </c>
      <c r="M4" s="146"/>
      <c r="N4" s="146"/>
      <c r="O4" s="146"/>
    </row>
    <row r="5" spans="1:15" s="72" customFormat="1" ht="25.5" customHeight="1">
      <c r="A5" s="142" t="s">
        <v>94</v>
      </c>
      <c r="B5" s="142" t="s">
        <v>32</v>
      </c>
      <c r="C5" s="141" t="s">
        <v>96</v>
      </c>
      <c r="D5" s="141"/>
      <c r="E5" s="141"/>
      <c r="F5" s="141" t="s">
        <v>97</v>
      </c>
      <c r="G5" s="141"/>
      <c r="H5" s="141"/>
      <c r="I5" s="141"/>
      <c r="J5" s="141"/>
      <c r="K5" s="141"/>
      <c r="L5" s="141"/>
      <c r="M5" s="141" t="s">
        <v>100</v>
      </c>
      <c r="N5" s="141"/>
      <c r="O5" s="141"/>
    </row>
    <row r="6" spans="1:15" s="72" customFormat="1" ht="23.25" customHeight="1">
      <c r="A6" s="142"/>
      <c r="B6" s="142"/>
      <c r="C6" s="141" t="s">
        <v>33</v>
      </c>
      <c r="D6" s="141" t="s">
        <v>110</v>
      </c>
      <c r="E6" s="141" t="s">
        <v>18</v>
      </c>
      <c r="F6" s="141" t="s">
        <v>111</v>
      </c>
      <c r="G6" s="141" t="s">
        <v>110</v>
      </c>
      <c r="H6" s="141" t="s">
        <v>18</v>
      </c>
      <c r="I6" s="141" t="s">
        <v>112</v>
      </c>
      <c r="J6" s="141"/>
      <c r="K6" s="141"/>
      <c r="L6" s="141" t="s">
        <v>93</v>
      </c>
      <c r="M6" s="141" t="s">
        <v>111</v>
      </c>
      <c r="N6" s="141" t="s">
        <v>113</v>
      </c>
      <c r="O6" s="141" t="s">
        <v>18</v>
      </c>
    </row>
    <row r="7" spans="1:15" s="72" customFormat="1" ht="51.75" customHeight="1">
      <c r="A7" s="142"/>
      <c r="B7" s="142"/>
      <c r="C7" s="141"/>
      <c r="D7" s="141"/>
      <c r="E7" s="141"/>
      <c r="F7" s="141"/>
      <c r="G7" s="141"/>
      <c r="H7" s="141"/>
      <c r="I7" s="71" t="s">
        <v>111</v>
      </c>
      <c r="J7" s="71" t="s">
        <v>62</v>
      </c>
      <c r="K7" s="71" t="s">
        <v>18</v>
      </c>
      <c r="L7" s="141"/>
      <c r="M7" s="141"/>
      <c r="N7" s="141"/>
      <c r="O7" s="141"/>
    </row>
    <row r="8" spans="1:17" s="38" customFormat="1" ht="19.5" customHeight="1">
      <c r="A8" s="35"/>
      <c r="B8" s="35" t="s">
        <v>35</v>
      </c>
      <c r="C8" s="36">
        <f aca="true" t="shared" si="0" ref="C8:L8">SUM(C9:C141)</f>
        <v>629212682.5</v>
      </c>
      <c r="D8" s="36">
        <f t="shared" si="0"/>
        <v>89890985</v>
      </c>
      <c r="E8" s="36">
        <f t="shared" si="0"/>
        <v>539321697.5</v>
      </c>
      <c r="F8" s="36">
        <f t="shared" si="0"/>
        <v>827122430.289</v>
      </c>
      <c r="G8" s="36">
        <f t="shared" si="0"/>
        <v>68496952.42</v>
      </c>
      <c r="H8" s="36">
        <f t="shared" si="0"/>
        <v>492186872.9919999</v>
      </c>
      <c r="I8" s="36">
        <f t="shared" si="0"/>
        <v>659692</v>
      </c>
      <c r="J8" s="36">
        <f t="shared" si="0"/>
        <v>615800</v>
      </c>
      <c r="K8" s="36">
        <f t="shared" si="0"/>
        <v>43892</v>
      </c>
      <c r="L8" s="36">
        <f t="shared" si="0"/>
        <v>265778912.877</v>
      </c>
      <c r="M8" s="83">
        <f>F8/C8*100</f>
        <v>131.45355351113733</v>
      </c>
      <c r="N8" s="36">
        <f>G8/D8*100</f>
        <v>76.20002430722057</v>
      </c>
      <c r="O8" s="36">
        <f>H8/E8*100</f>
        <v>91.26035078386586</v>
      </c>
      <c r="P8" s="37">
        <f>SUM(P9:P19)</f>
        <v>13154.2206</v>
      </c>
      <c r="Q8" s="37">
        <f>F8-P8</f>
        <v>827109276.0684</v>
      </c>
    </row>
    <row r="9" spans="1:17" s="75" customFormat="1" ht="19.5" customHeight="1">
      <c r="A9" s="104">
        <v>1</v>
      </c>
      <c r="B9" s="105" t="s">
        <v>229</v>
      </c>
      <c r="C9" s="94">
        <f>SUM(D9:E9)</f>
        <v>7044684.999999999</v>
      </c>
      <c r="D9" s="29"/>
      <c r="E9" s="29">
        <v>7044684.999999999</v>
      </c>
      <c r="F9" s="29">
        <f aca="true" t="shared" si="1" ref="F9:F40">SUM(G9:I9)+L9</f>
        <v>7044610.12</v>
      </c>
      <c r="G9" s="29"/>
      <c r="H9" s="29">
        <v>7017610.12</v>
      </c>
      <c r="I9" s="29">
        <f>SUM(J9:K9)</f>
        <v>0</v>
      </c>
      <c r="J9" s="29"/>
      <c r="K9" s="29"/>
      <c r="L9" s="29">
        <v>27000</v>
      </c>
      <c r="M9" s="84">
        <f aca="true" t="shared" si="2" ref="M9:M40">F9/C9*100</f>
        <v>99.99893707099751</v>
      </c>
      <c r="N9" s="29"/>
      <c r="O9" s="29">
        <f aca="true" t="shared" si="3" ref="O9:O40">H9/E9*100</f>
        <v>99.61566940182564</v>
      </c>
      <c r="P9" s="74">
        <f>L9/1000</f>
        <v>27</v>
      </c>
      <c r="Q9" s="74"/>
    </row>
    <row r="10" spans="1:17" s="75" customFormat="1" ht="19.5" customHeight="1">
      <c r="A10" s="104">
        <v>2</v>
      </c>
      <c r="B10" s="105" t="s">
        <v>282</v>
      </c>
      <c r="C10" s="94">
        <f aca="true" t="shared" si="4" ref="C10:C64">SUM(D10:E10)</f>
        <v>3756360</v>
      </c>
      <c r="D10" s="29"/>
      <c r="E10" s="29">
        <v>3756360</v>
      </c>
      <c r="F10" s="29">
        <f t="shared" si="1"/>
        <v>3742137</v>
      </c>
      <c r="G10" s="29"/>
      <c r="H10" s="29">
        <v>3742137</v>
      </c>
      <c r="I10" s="29">
        <f aca="true" t="shared" si="5" ref="I10:I64">SUM(J10:K10)</f>
        <v>0</v>
      </c>
      <c r="J10" s="29"/>
      <c r="K10" s="29"/>
      <c r="L10" s="29">
        <v>0</v>
      </c>
      <c r="M10" s="84">
        <f t="shared" si="2"/>
        <v>99.62136216976009</v>
      </c>
      <c r="N10" s="29"/>
      <c r="O10" s="29">
        <f t="shared" si="3"/>
        <v>99.62136216976009</v>
      </c>
      <c r="P10" s="74">
        <f aca="true" t="shared" si="6" ref="P10:P64">L10/1000</f>
        <v>0</v>
      </c>
      <c r="Q10" s="74"/>
    </row>
    <row r="11" spans="1:17" s="75" customFormat="1" ht="19.5" customHeight="1">
      <c r="A11" s="104">
        <v>3</v>
      </c>
      <c r="B11" s="105" t="s">
        <v>226</v>
      </c>
      <c r="C11" s="94">
        <f t="shared" si="4"/>
        <v>58889298</v>
      </c>
      <c r="D11" s="29">
        <v>244000</v>
      </c>
      <c r="E11" s="29">
        <f>58889298-D11</f>
        <v>58645298</v>
      </c>
      <c r="F11" s="29">
        <f t="shared" si="1"/>
        <v>57654812.767000005</v>
      </c>
      <c r="G11" s="29">
        <v>243671</v>
      </c>
      <c r="H11" s="29">
        <f>56609116.167-G11</f>
        <v>56365445.167</v>
      </c>
      <c r="I11" s="29">
        <f>SUM(J11:K11)</f>
        <v>0</v>
      </c>
      <c r="J11" s="29"/>
      <c r="K11" s="29"/>
      <c r="L11" s="29">
        <v>1045696.6</v>
      </c>
      <c r="M11" s="84">
        <f t="shared" si="2"/>
        <v>97.90371888454165</v>
      </c>
      <c r="N11" s="29">
        <f>G11/D11*100</f>
        <v>99.86516393442622</v>
      </c>
      <c r="O11" s="29">
        <f t="shared" si="3"/>
        <v>96.11247122829865</v>
      </c>
      <c r="P11" s="74">
        <f t="shared" si="6"/>
        <v>1045.6966</v>
      </c>
      <c r="Q11" s="74"/>
    </row>
    <row r="12" spans="1:17" s="75" customFormat="1" ht="19.5" customHeight="1">
      <c r="A12" s="104">
        <v>4</v>
      </c>
      <c r="B12" s="105" t="s">
        <v>230</v>
      </c>
      <c r="C12" s="94">
        <f t="shared" si="4"/>
        <v>1194000</v>
      </c>
      <c r="D12" s="29"/>
      <c r="E12" s="29">
        <v>1194000</v>
      </c>
      <c r="F12" s="29">
        <f t="shared" si="1"/>
        <v>1194000</v>
      </c>
      <c r="G12" s="29"/>
      <c r="H12" s="29">
        <v>1194000</v>
      </c>
      <c r="I12" s="29">
        <f t="shared" si="5"/>
        <v>0</v>
      </c>
      <c r="J12" s="29"/>
      <c r="K12" s="29"/>
      <c r="L12" s="29">
        <v>0</v>
      </c>
      <c r="M12" s="84">
        <f t="shared" si="2"/>
        <v>100</v>
      </c>
      <c r="N12" s="29"/>
      <c r="O12" s="29">
        <f t="shared" si="3"/>
        <v>100</v>
      </c>
      <c r="P12" s="74">
        <f t="shared" si="6"/>
        <v>0</v>
      </c>
      <c r="Q12" s="74"/>
    </row>
    <row r="13" spans="1:17" s="75" customFormat="1" ht="19.5" customHeight="1">
      <c r="A13" s="104">
        <v>5</v>
      </c>
      <c r="B13" s="105" t="s">
        <v>175</v>
      </c>
      <c r="C13" s="94">
        <f t="shared" si="4"/>
        <v>39293946</v>
      </c>
      <c r="D13" s="29">
        <f>1130946+300000</f>
        <v>1430946</v>
      </c>
      <c r="E13" s="29">
        <f>39293946-D13</f>
        <v>37863000</v>
      </c>
      <c r="F13" s="29">
        <f t="shared" si="1"/>
        <v>22037096.126000002</v>
      </c>
      <c r="G13" s="29">
        <f>831412+300000</f>
        <v>1131412</v>
      </c>
      <c r="H13" s="29">
        <f>10181593.126-G13</f>
        <v>9050181.126</v>
      </c>
      <c r="I13" s="29">
        <f t="shared" si="5"/>
        <v>0</v>
      </c>
      <c r="J13" s="29"/>
      <c r="K13" s="29"/>
      <c r="L13" s="29">
        <v>11855503</v>
      </c>
      <c r="M13" s="84">
        <f t="shared" si="2"/>
        <v>56.08267524468019</v>
      </c>
      <c r="N13" s="29">
        <f>G13/D13*100</f>
        <v>79.0674141442095</v>
      </c>
      <c r="O13" s="29">
        <f t="shared" si="3"/>
        <v>23.902440709927898</v>
      </c>
      <c r="P13" s="74">
        <f t="shared" si="6"/>
        <v>11855.503</v>
      </c>
      <c r="Q13" s="74"/>
    </row>
    <row r="14" spans="1:17" s="75" customFormat="1" ht="19.5" customHeight="1">
      <c r="A14" s="104">
        <v>6</v>
      </c>
      <c r="B14" s="105" t="s">
        <v>283</v>
      </c>
      <c r="C14" s="94">
        <f t="shared" si="4"/>
        <v>6956754</v>
      </c>
      <c r="D14" s="29"/>
      <c r="E14" s="29">
        <v>6956754</v>
      </c>
      <c r="F14" s="29">
        <f t="shared" si="1"/>
        <v>6956644.629000001</v>
      </c>
      <c r="G14" s="29"/>
      <c r="H14" s="29">
        <v>6956644.629000001</v>
      </c>
      <c r="I14" s="29">
        <f t="shared" si="5"/>
        <v>0</v>
      </c>
      <c r="J14" s="29"/>
      <c r="K14" s="29"/>
      <c r="L14" s="29">
        <v>0</v>
      </c>
      <c r="M14" s="84">
        <f t="shared" si="2"/>
        <v>99.99842784436535</v>
      </c>
      <c r="N14" s="29"/>
      <c r="O14" s="29">
        <f t="shared" si="3"/>
        <v>99.99842784436535</v>
      </c>
      <c r="P14" s="74">
        <f t="shared" si="6"/>
        <v>0</v>
      </c>
      <c r="Q14" s="74"/>
    </row>
    <row r="15" spans="1:17" s="75" customFormat="1" ht="19.5" customHeight="1">
      <c r="A15" s="104">
        <v>7</v>
      </c>
      <c r="B15" s="105" t="s">
        <v>284</v>
      </c>
      <c r="C15" s="94">
        <f t="shared" si="4"/>
        <v>3211900</v>
      </c>
      <c r="D15" s="29"/>
      <c r="E15" s="29">
        <v>3211900</v>
      </c>
      <c r="F15" s="29">
        <f t="shared" si="1"/>
        <v>3193321</v>
      </c>
      <c r="G15" s="29"/>
      <c r="H15" s="29">
        <v>3193321</v>
      </c>
      <c r="I15" s="29">
        <f t="shared" si="5"/>
        <v>0</v>
      </c>
      <c r="J15" s="29"/>
      <c r="K15" s="29"/>
      <c r="L15" s="29">
        <v>0</v>
      </c>
      <c r="M15" s="84">
        <f t="shared" si="2"/>
        <v>99.42155733366543</v>
      </c>
      <c r="N15" s="29"/>
      <c r="O15" s="29">
        <f t="shared" si="3"/>
        <v>99.42155733366543</v>
      </c>
      <c r="P15" s="74">
        <f t="shared" si="6"/>
        <v>0</v>
      </c>
      <c r="Q15" s="74"/>
    </row>
    <row r="16" spans="1:17" s="75" customFormat="1" ht="19.5" customHeight="1">
      <c r="A16" s="104">
        <v>8</v>
      </c>
      <c r="B16" s="105" t="s">
        <v>285</v>
      </c>
      <c r="C16" s="94">
        <f t="shared" si="4"/>
        <v>6711372</v>
      </c>
      <c r="D16" s="29"/>
      <c r="E16" s="29">
        <v>6711372</v>
      </c>
      <c r="F16" s="29">
        <f t="shared" si="1"/>
        <v>6623766</v>
      </c>
      <c r="G16" s="29"/>
      <c r="H16" s="112">
        <f>6397745-K16</f>
        <v>6353853</v>
      </c>
      <c r="I16" s="29">
        <f t="shared" si="5"/>
        <v>43892</v>
      </c>
      <c r="J16" s="29"/>
      <c r="K16" s="29">
        <v>43892</v>
      </c>
      <c r="L16" s="29">
        <v>226021</v>
      </c>
      <c r="M16" s="84">
        <f t="shared" si="2"/>
        <v>98.69466332666406</v>
      </c>
      <c r="N16" s="29"/>
      <c r="O16" s="29">
        <f t="shared" si="3"/>
        <v>94.67293721760618</v>
      </c>
      <c r="P16" s="74">
        <f t="shared" si="6"/>
        <v>226.021</v>
      </c>
      <c r="Q16" s="74"/>
    </row>
    <row r="17" spans="1:17" s="75" customFormat="1" ht="19.5" customHeight="1">
      <c r="A17" s="104">
        <v>9</v>
      </c>
      <c r="B17" s="105" t="s">
        <v>227</v>
      </c>
      <c r="C17" s="94">
        <f t="shared" si="4"/>
        <v>808307</v>
      </c>
      <c r="D17" s="29"/>
      <c r="E17" s="29">
        <v>808307</v>
      </c>
      <c r="F17" s="29">
        <f t="shared" si="1"/>
        <v>808307</v>
      </c>
      <c r="G17" s="29"/>
      <c r="H17" s="29">
        <v>808307</v>
      </c>
      <c r="I17" s="29">
        <f t="shared" si="5"/>
        <v>0</v>
      </c>
      <c r="J17" s="29"/>
      <c r="K17" s="29"/>
      <c r="L17" s="29">
        <v>0</v>
      </c>
      <c r="M17" s="84">
        <f t="shared" si="2"/>
        <v>100</v>
      </c>
      <c r="N17" s="29"/>
      <c r="O17" s="29">
        <f t="shared" si="3"/>
        <v>100</v>
      </c>
      <c r="P17" s="74">
        <f t="shared" si="6"/>
        <v>0</v>
      </c>
      <c r="Q17" s="74"/>
    </row>
    <row r="18" spans="1:17" s="75" customFormat="1" ht="19.5" customHeight="1">
      <c r="A18" s="104">
        <v>10</v>
      </c>
      <c r="B18" s="105" t="s">
        <v>228</v>
      </c>
      <c r="C18" s="94">
        <f t="shared" si="4"/>
        <v>751706</v>
      </c>
      <c r="D18" s="29"/>
      <c r="E18" s="29">
        <v>751706</v>
      </c>
      <c r="F18" s="29">
        <f t="shared" si="1"/>
        <v>751706</v>
      </c>
      <c r="G18" s="29"/>
      <c r="H18" s="29">
        <v>751706</v>
      </c>
      <c r="I18" s="29">
        <f t="shared" si="5"/>
        <v>0</v>
      </c>
      <c r="J18" s="29"/>
      <c r="K18" s="29"/>
      <c r="L18" s="29">
        <v>0</v>
      </c>
      <c r="M18" s="84">
        <f t="shared" si="2"/>
        <v>100</v>
      </c>
      <c r="N18" s="29"/>
      <c r="O18" s="29">
        <f t="shared" si="3"/>
        <v>100</v>
      </c>
      <c r="P18" s="74">
        <f t="shared" si="6"/>
        <v>0</v>
      </c>
      <c r="Q18" s="74"/>
    </row>
    <row r="19" spans="1:17" s="75" customFormat="1" ht="19.5" customHeight="1">
      <c r="A19" s="104">
        <v>11</v>
      </c>
      <c r="B19" s="105" t="s">
        <v>231</v>
      </c>
      <c r="C19" s="94">
        <f t="shared" si="4"/>
        <v>1208000</v>
      </c>
      <c r="D19" s="29">
        <v>368000</v>
      </c>
      <c r="E19" s="29">
        <f>1208000-D19</f>
        <v>840000</v>
      </c>
      <c r="F19" s="29">
        <f t="shared" si="1"/>
        <v>1195065</v>
      </c>
      <c r="G19" s="29">
        <v>355065</v>
      </c>
      <c r="H19" s="29">
        <f>1195065-G19</f>
        <v>840000</v>
      </c>
      <c r="I19" s="29">
        <f t="shared" si="5"/>
        <v>0</v>
      </c>
      <c r="J19" s="29"/>
      <c r="K19" s="29"/>
      <c r="L19" s="29">
        <v>0</v>
      </c>
      <c r="M19" s="84">
        <f t="shared" si="2"/>
        <v>98.92922185430464</v>
      </c>
      <c r="N19" s="29"/>
      <c r="O19" s="29">
        <f t="shared" si="3"/>
        <v>100</v>
      </c>
      <c r="P19" s="74">
        <f t="shared" si="6"/>
        <v>0</v>
      </c>
      <c r="Q19" s="74"/>
    </row>
    <row r="20" spans="1:17" s="75" customFormat="1" ht="19.5" customHeight="1">
      <c r="A20" s="104">
        <v>12</v>
      </c>
      <c r="B20" s="105" t="s">
        <v>286</v>
      </c>
      <c r="C20" s="94">
        <f t="shared" si="4"/>
        <v>8537723</v>
      </c>
      <c r="D20" s="29"/>
      <c r="E20" s="29">
        <v>8537723</v>
      </c>
      <c r="F20" s="29">
        <f t="shared" si="1"/>
        <v>2546771</v>
      </c>
      <c r="G20" s="29"/>
      <c r="H20" s="29">
        <v>2507771</v>
      </c>
      <c r="I20" s="29">
        <f t="shared" si="5"/>
        <v>0</v>
      </c>
      <c r="J20" s="29"/>
      <c r="K20" s="29"/>
      <c r="L20" s="29">
        <v>39000</v>
      </c>
      <c r="M20" s="84">
        <f t="shared" si="2"/>
        <v>29.829627876191346</v>
      </c>
      <c r="N20" s="29"/>
      <c r="O20" s="29">
        <f t="shared" si="3"/>
        <v>29.372831608615087</v>
      </c>
      <c r="P20" s="74">
        <f t="shared" si="6"/>
        <v>39</v>
      </c>
      <c r="Q20" s="74"/>
    </row>
    <row r="21" spans="1:17" s="75" customFormat="1" ht="19.5" customHeight="1">
      <c r="A21" s="104">
        <v>13</v>
      </c>
      <c r="B21" s="105" t="s">
        <v>232</v>
      </c>
      <c r="C21" s="94">
        <f t="shared" si="4"/>
        <v>872000</v>
      </c>
      <c r="D21" s="29"/>
      <c r="E21" s="29">
        <v>872000</v>
      </c>
      <c r="F21" s="29">
        <f t="shared" si="1"/>
        <v>821780</v>
      </c>
      <c r="G21" s="29"/>
      <c r="H21" s="29">
        <v>821780</v>
      </c>
      <c r="I21" s="29">
        <f t="shared" si="5"/>
        <v>0</v>
      </c>
      <c r="J21" s="29"/>
      <c r="K21" s="29"/>
      <c r="L21" s="29">
        <v>0</v>
      </c>
      <c r="M21" s="84">
        <f t="shared" si="2"/>
        <v>94.24082568807339</v>
      </c>
      <c r="N21" s="29"/>
      <c r="O21" s="29">
        <f t="shared" si="3"/>
        <v>94.24082568807339</v>
      </c>
      <c r="P21" s="74">
        <f t="shared" si="6"/>
        <v>0</v>
      </c>
      <c r="Q21" s="74"/>
    </row>
    <row r="22" spans="1:17" s="75" customFormat="1" ht="19.5" customHeight="1">
      <c r="A22" s="104">
        <v>14</v>
      </c>
      <c r="B22" s="105" t="s">
        <v>233</v>
      </c>
      <c r="C22" s="94">
        <f t="shared" si="4"/>
        <v>645000</v>
      </c>
      <c r="D22" s="29"/>
      <c r="E22" s="29">
        <v>645000</v>
      </c>
      <c r="F22" s="29">
        <f t="shared" si="1"/>
        <v>645000</v>
      </c>
      <c r="G22" s="29"/>
      <c r="H22" s="29">
        <v>645000</v>
      </c>
      <c r="I22" s="29">
        <f t="shared" si="5"/>
        <v>0</v>
      </c>
      <c r="J22" s="29"/>
      <c r="K22" s="29"/>
      <c r="L22" s="29">
        <v>0</v>
      </c>
      <c r="M22" s="84">
        <f t="shared" si="2"/>
        <v>100</v>
      </c>
      <c r="N22" s="29"/>
      <c r="O22" s="29">
        <f t="shared" si="3"/>
        <v>100</v>
      </c>
      <c r="P22" s="74">
        <f t="shared" si="6"/>
        <v>0</v>
      </c>
      <c r="Q22" s="74"/>
    </row>
    <row r="23" spans="1:17" s="75" customFormat="1" ht="19.5" customHeight="1">
      <c r="A23" s="104">
        <v>15</v>
      </c>
      <c r="B23" s="105" t="s">
        <v>234</v>
      </c>
      <c r="C23" s="94">
        <f t="shared" si="4"/>
        <v>846000</v>
      </c>
      <c r="D23" s="29"/>
      <c r="E23" s="29">
        <v>846000</v>
      </c>
      <c r="F23" s="29">
        <f t="shared" si="1"/>
        <v>846000</v>
      </c>
      <c r="G23" s="29"/>
      <c r="H23" s="29">
        <v>846000</v>
      </c>
      <c r="I23" s="29">
        <f t="shared" si="5"/>
        <v>0</v>
      </c>
      <c r="J23" s="29"/>
      <c r="K23" s="29"/>
      <c r="L23" s="29">
        <v>0</v>
      </c>
      <c r="M23" s="84">
        <f t="shared" si="2"/>
        <v>100</v>
      </c>
      <c r="N23" s="29"/>
      <c r="O23" s="29">
        <f t="shared" si="3"/>
        <v>100</v>
      </c>
      <c r="P23" s="74">
        <f t="shared" si="6"/>
        <v>0</v>
      </c>
      <c r="Q23" s="74"/>
    </row>
    <row r="24" spans="1:17" s="75" customFormat="1" ht="19.5" customHeight="1">
      <c r="A24" s="104">
        <v>16</v>
      </c>
      <c r="B24" s="105" t="s">
        <v>235</v>
      </c>
      <c r="C24" s="94">
        <f t="shared" si="4"/>
        <v>370000</v>
      </c>
      <c r="D24" s="29"/>
      <c r="E24" s="29">
        <v>370000</v>
      </c>
      <c r="F24" s="29">
        <f t="shared" si="1"/>
        <v>370000</v>
      </c>
      <c r="G24" s="29"/>
      <c r="H24" s="29">
        <v>370000</v>
      </c>
      <c r="I24" s="29">
        <f t="shared" si="5"/>
        <v>0</v>
      </c>
      <c r="J24" s="29"/>
      <c r="K24" s="29"/>
      <c r="L24" s="29">
        <v>0</v>
      </c>
      <c r="M24" s="84">
        <f t="shared" si="2"/>
        <v>100</v>
      </c>
      <c r="N24" s="29"/>
      <c r="O24" s="29">
        <f t="shared" si="3"/>
        <v>100</v>
      </c>
      <c r="P24" s="74">
        <f t="shared" si="6"/>
        <v>0</v>
      </c>
      <c r="Q24" s="74"/>
    </row>
    <row r="25" spans="1:17" s="75" customFormat="1" ht="19.5" customHeight="1">
      <c r="A25" s="104">
        <v>17</v>
      </c>
      <c r="B25" s="105" t="s">
        <v>236</v>
      </c>
      <c r="C25" s="94">
        <f t="shared" si="4"/>
        <v>1310200</v>
      </c>
      <c r="D25" s="29">
        <v>150000</v>
      </c>
      <c r="E25" s="29">
        <f>1310200-D25</f>
        <v>1160200</v>
      </c>
      <c r="F25" s="29">
        <f t="shared" si="1"/>
        <v>1160200</v>
      </c>
      <c r="G25" s="29"/>
      <c r="H25" s="29">
        <v>1160200</v>
      </c>
      <c r="I25" s="29">
        <f t="shared" si="5"/>
        <v>0</v>
      </c>
      <c r="J25" s="29"/>
      <c r="K25" s="29"/>
      <c r="L25" s="29">
        <v>0</v>
      </c>
      <c r="M25" s="84">
        <f t="shared" si="2"/>
        <v>88.55136620363304</v>
      </c>
      <c r="N25" s="29"/>
      <c r="O25" s="29">
        <f t="shared" si="3"/>
        <v>100</v>
      </c>
      <c r="P25" s="74">
        <f t="shared" si="6"/>
        <v>0</v>
      </c>
      <c r="Q25" s="74"/>
    </row>
    <row r="26" spans="1:17" s="75" customFormat="1" ht="19.5" customHeight="1">
      <c r="A26" s="104">
        <v>18</v>
      </c>
      <c r="B26" s="105" t="s">
        <v>287</v>
      </c>
      <c r="C26" s="94">
        <f t="shared" si="4"/>
        <v>7387034</v>
      </c>
      <c r="D26" s="29"/>
      <c r="E26" s="29">
        <v>7387034</v>
      </c>
      <c r="F26" s="29">
        <f t="shared" si="1"/>
        <v>7387034</v>
      </c>
      <c r="G26" s="29"/>
      <c r="H26" s="29">
        <v>7387034</v>
      </c>
      <c r="I26" s="29">
        <f t="shared" si="5"/>
        <v>0</v>
      </c>
      <c r="J26" s="29"/>
      <c r="K26" s="29"/>
      <c r="L26" s="29">
        <v>0</v>
      </c>
      <c r="M26" s="84">
        <f t="shared" si="2"/>
        <v>100</v>
      </c>
      <c r="N26" s="29"/>
      <c r="O26" s="29">
        <f t="shared" si="3"/>
        <v>100</v>
      </c>
      <c r="P26" s="74">
        <f t="shared" si="6"/>
        <v>0</v>
      </c>
      <c r="Q26" s="74"/>
    </row>
    <row r="27" spans="1:17" s="75" customFormat="1" ht="19.5" customHeight="1">
      <c r="A27" s="104">
        <v>19</v>
      </c>
      <c r="B27" s="106" t="s">
        <v>288</v>
      </c>
      <c r="C27" s="94">
        <f t="shared" si="4"/>
        <v>2948500</v>
      </c>
      <c r="D27" s="29"/>
      <c r="E27" s="29">
        <v>2948500</v>
      </c>
      <c r="F27" s="29">
        <f t="shared" si="1"/>
        <v>2948500</v>
      </c>
      <c r="G27" s="29"/>
      <c r="H27" s="29">
        <v>2948500</v>
      </c>
      <c r="I27" s="29">
        <f t="shared" si="5"/>
        <v>0</v>
      </c>
      <c r="J27" s="29"/>
      <c r="K27" s="29"/>
      <c r="L27" s="29">
        <v>0</v>
      </c>
      <c r="M27" s="84">
        <f t="shared" si="2"/>
        <v>100</v>
      </c>
      <c r="N27" s="29"/>
      <c r="O27" s="29">
        <f t="shared" si="3"/>
        <v>100</v>
      </c>
      <c r="P27" s="74">
        <f t="shared" si="6"/>
        <v>0</v>
      </c>
      <c r="Q27" s="74"/>
    </row>
    <row r="28" spans="1:17" s="75" customFormat="1" ht="19.5" customHeight="1">
      <c r="A28" s="104">
        <v>20</v>
      </c>
      <c r="B28" s="106" t="s">
        <v>289</v>
      </c>
      <c r="C28" s="94">
        <f t="shared" si="4"/>
        <v>3787555</v>
      </c>
      <c r="D28" s="29"/>
      <c r="E28" s="29">
        <v>3787555</v>
      </c>
      <c r="F28" s="29">
        <f t="shared" si="1"/>
        <v>3787399.5</v>
      </c>
      <c r="G28" s="29"/>
      <c r="H28" s="29">
        <v>3787399.5</v>
      </c>
      <c r="I28" s="29">
        <f t="shared" si="5"/>
        <v>0</v>
      </c>
      <c r="J28" s="29"/>
      <c r="K28" s="29"/>
      <c r="L28" s="29">
        <v>0</v>
      </c>
      <c r="M28" s="84">
        <f t="shared" si="2"/>
        <v>99.99589444905752</v>
      </c>
      <c r="N28" s="29"/>
      <c r="O28" s="29">
        <f t="shared" si="3"/>
        <v>99.99589444905752</v>
      </c>
      <c r="P28" s="74">
        <f t="shared" si="6"/>
        <v>0</v>
      </c>
      <c r="Q28" s="74"/>
    </row>
    <row r="29" spans="1:17" s="75" customFormat="1" ht="19.5" customHeight="1">
      <c r="A29" s="104">
        <v>21</v>
      </c>
      <c r="B29" s="106" t="s">
        <v>290</v>
      </c>
      <c r="C29" s="94">
        <f t="shared" si="4"/>
        <v>3169102</v>
      </c>
      <c r="D29" s="29"/>
      <c r="E29" s="29">
        <v>3169102</v>
      </c>
      <c r="F29" s="29">
        <f t="shared" si="1"/>
        <v>3168081.25</v>
      </c>
      <c r="G29" s="29"/>
      <c r="H29" s="29">
        <v>3168081.25</v>
      </c>
      <c r="I29" s="29">
        <f t="shared" si="5"/>
        <v>0</v>
      </c>
      <c r="J29" s="29"/>
      <c r="K29" s="29"/>
      <c r="L29" s="29">
        <v>0</v>
      </c>
      <c r="M29" s="84">
        <f t="shared" si="2"/>
        <v>99.9677905602281</v>
      </c>
      <c r="N29" s="29"/>
      <c r="O29" s="29">
        <f t="shared" si="3"/>
        <v>99.9677905602281</v>
      </c>
      <c r="P29" s="74">
        <f t="shared" si="6"/>
        <v>0</v>
      </c>
      <c r="Q29" s="74"/>
    </row>
    <row r="30" spans="1:17" s="75" customFormat="1" ht="19.5" customHeight="1">
      <c r="A30" s="104">
        <v>22</v>
      </c>
      <c r="B30" s="106" t="s">
        <v>291</v>
      </c>
      <c r="C30" s="94">
        <f t="shared" si="4"/>
        <v>2866663</v>
      </c>
      <c r="D30" s="29"/>
      <c r="E30" s="29">
        <v>2866663</v>
      </c>
      <c r="F30" s="29">
        <f t="shared" si="1"/>
        <v>2865083.5</v>
      </c>
      <c r="G30" s="29"/>
      <c r="H30" s="29">
        <v>2865083.5</v>
      </c>
      <c r="I30" s="29">
        <f t="shared" si="5"/>
        <v>0</v>
      </c>
      <c r="J30" s="29"/>
      <c r="K30" s="29"/>
      <c r="L30" s="29">
        <v>0</v>
      </c>
      <c r="M30" s="84">
        <f t="shared" si="2"/>
        <v>99.94490109231535</v>
      </c>
      <c r="N30" s="29"/>
      <c r="O30" s="29">
        <f t="shared" si="3"/>
        <v>99.94490109231535</v>
      </c>
      <c r="P30" s="74">
        <f t="shared" si="6"/>
        <v>0</v>
      </c>
      <c r="Q30" s="74"/>
    </row>
    <row r="31" spans="1:17" s="75" customFormat="1" ht="19.5" customHeight="1">
      <c r="A31" s="104">
        <v>23</v>
      </c>
      <c r="B31" s="106" t="s">
        <v>292</v>
      </c>
      <c r="C31" s="94">
        <f t="shared" si="4"/>
        <v>3507439</v>
      </c>
      <c r="D31" s="29"/>
      <c r="E31" s="29">
        <v>3507439</v>
      </c>
      <c r="F31" s="29">
        <f t="shared" si="1"/>
        <v>3506975.25</v>
      </c>
      <c r="G31" s="29"/>
      <c r="H31" s="29">
        <v>3506975.25</v>
      </c>
      <c r="I31" s="29">
        <f t="shared" si="5"/>
        <v>0</v>
      </c>
      <c r="J31" s="29"/>
      <c r="K31" s="29"/>
      <c r="L31" s="29">
        <v>0</v>
      </c>
      <c r="M31" s="84">
        <f t="shared" si="2"/>
        <v>99.98677810219935</v>
      </c>
      <c r="N31" s="29"/>
      <c r="O31" s="29">
        <f t="shared" si="3"/>
        <v>99.98677810219935</v>
      </c>
      <c r="P31" s="74">
        <f t="shared" si="6"/>
        <v>0</v>
      </c>
      <c r="Q31" s="74"/>
    </row>
    <row r="32" spans="1:17" s="75" customFormat="1" ht="19.5" customHeight="1">
      <c r="A32" s="104">
        <v>24</v>
      </c>
      <c r="B32" s="106" t="s">
        <v>293</v>
      </c>
      <c r="C32" s="94">
        <f t="shared" si="4"/>
        <v>2748802.7</v>
      </c>
      <c r="D32" s="29"/>
      <c r="E32" s="29">
        <v>2748802.7</v>
      </c>
      <c r="F32" s="29">
        <f t="shared" si="1"/>
        <v>2748246.25</v>
      </c>
      <c r="G32" s="29"/>
      <c r="H32" s="29">
        <v>2748246.25</v>
      </c>
      <c r="I32" s="29">
        <f t="shared" si="5"/>
        <v>0</v>
      </c>
      <c r="J32" s="29"/>
      <c r="K32" s="29"/>
      <c r="L32" s="29">
        <v>0</v>
      </c>
      <c r="M32" s="84">
        <f t="shared" si="2"/>
        <v>99.97975664095497</v>
      </c>
      <c r="N32" s="29"/>
      <c r="O32" s="29">
        <f t="shared" si="3"/>
        <v>99.97975664095497</v>
      </c>
      <c r="P32" s="74">
        <f t="shared" si="6"/>
        <v>0</v>
      </c>
      <c r="Q32" s="74"/>
    </row>
    <row r="33" spans="1:17" s="75" customFormat="1" ht="19.5" customHeight="1">
      <c r="A33" s="104">
        <v>25</v>
      </c>
      <c r="B33" s="106" t="s">
        <v>294</v>
      </c>
      <c r="C33" s="94">
        <f t="shared" si="4"/>
        <v>3400586.25</v>
      </c>
      <c r="D33" s="29"/>
      <c r="E33" s="29">
        <v>3400586.25</v>
      </c>
      <c r="F33" s="29">
        <f t="shared" si="1"/>
        <v>3395455.441</v>
      </c>
      <c r="G33" s="29"/>
      <c r="H33" s="29">
        <v>3395455.441</v>
      </c>
      <c r="I33" s="29">
        <f t="shared" si="5"/>
        <v>0</v>
      </c>
      <c r="J33" s="29"/>
      <c r="K33" s="29"/>
      <c r="L33" s="29">
        <v>0</v>
      </c>
      <c r="M33" s="84">
        <f t="shared" si="2"/>
        <v>99.84911986866972</v>
      </c>
      <c r="N33" s="29"/>
      <c r="O33" s="29">
        <f t="shared" si="3"/>
        <v>99.84911986866972</v>
      </c>
      <c r="P33" s="74">
        <f t="shared" si="6"/>
        <v>0</v>
      </c>
      <c r="Q33" s="74"/>
    </row>
    <row r="34" spans="1:17" s="75" customFormat="1" ht="19.5" customHeight="1">
      <c r="A34" s="104">
        <v>26</v>
      </c>
      <c r="B34" s="106" t="s">
        <v>295</v>
      </c>
      <c r="C34" s="94">
        <f t="shared" si="4"/>
        <v>3999337.5</v>
      </c>
      <c r="D34" s="29"/>
      <c r="E34" s="29">
        <v>3999337.5</v>
      </c>
      <c r="F34" s="29">
        <f t="shared" si="1"/>
        <v>3998903.75</v>
      </c>
      <c r="G34" s="29"/>
      <c r="H34" s="29">
        <v>3998903.75</v>
      </c>
      <c r="I34" s="29">
        <f t="shared" si="5"/>
        <v>0</v>
      </c>
      <c r="J34" s="29"/>
      <c r="K34" s="29"/>
      <c r="L34" s="29">
        <v>0</v>
      </c>
      <c r="M34" s="84">
        <f t="shared" si="2"/>
        <v>99.98915445370639</v>
      </c>
      <c r="N34" s="29"/>
      <c r="O34" s="29">
        <f t="shared" si="3"/>
        <v>99.98915445370639</v>
      </c>
      <c r="P34" s="74">
        <f t="shared" si="6"/>
        <v>0</v>
      </c>
      <c r="Q34" s="74"/>
    </row>
    <row r="35" spans="1:17" s="75" customFormat="1" ht="19.5" customHeight="1">
      <c r="A35" s="104">
        <v>27</v>
      </c>
      <c r="B35" s="106" t="s">
        <v>296</v>
      </c>
      <c r="C35" s="94">
        <f t="shared" si="4"/>
        <v>3273772.5</v>
      </c>
      <c r="D35" s="29"/>
      <c r="E35" s="29">
        <v>3273772.5</v>
      </c>
      <c r="F35" s="29">
        <f t="shared" si="1"/>
        <v>3272739.5</v>
      </c>
      <c r="G35" s="29"/>
      <c r="H35" s="29">
        <v>3272739.5</v>
      </c>
      <c r="I35" s="29">
        <f t="shared" si="5"/>
        <v>0</v>
      </c>
      <c r="J35" s="29"/>
      <c r="K35" s="29"/>
      <c r="L35" s="29">
        <v>0</v>
      </c>
      <c r="M35" s="84">
        <f t="shared" si="2"/>
        <v>99.96844618860963</v>
      </c>
      <c r="N35" s="29"/>
      <c r="O35" s="29">
        <f t="shared" si="3"/>
        <v>99.96844618860963</v>
      </c>
      <c r="P35" s="74">
        <f t="shared" si="6"/>
        <v>0</v>
      </c>
      <c r="Q35" s="74"/>
    </row>
    <row r="36" spans="1:17" s="75" customFormat="1" ht="19.5" customHeight="1">
      <c r="A36" s="104">
        <v>28</v>
      </c>
      <c r="B36" s="106" t="s">
        <v>297</v>
      </c>
      <c r="C36" s="94">
        <f t="shared" si="4"/>
        <v>3731173.5</v>
      </c>
      <c r="D36" s="29"/>
      <c r="E36" s="29">
        <v>3731173.5</v>
      </c>
      <c r="F36" s="29">
        <f t="shared" si="1"/>
        <v>3729245.189</v>
      </c>
      <c r="G36" s="29"/>
      <c r="H36" s="29">
        <v>3729245.189</v>
      </c>
      <c r="I36" s="29">
        <f t="shared" si="5"/>
        <v>0</v>
      </c>
      <c r="J36" s="29"/>
      <c r="K36" s="29"/>
      <c r="L36" s="29">
        <v>0</v>
      </c>
      <c r="M36" s="84">
        <f t="shared" si="2"/>
        <v>99.94831891360721</v>
      </c>
      <c r="N36" s="29"/>
      <c r="O36" s="29">
        <f t="shared" si="3"/>
        <v>99.94831891360721</v>
      </c>
      <c r="P36" s="74">
        <f t="shared" si="6"/>
        <v>0</v>
      </c>
      <c r="Q36" s="74"/>
    </row>
    <row r="37" spans="1:17" s="75" customFormat="1" ht="19.5" customHeight="1">
      <c r="A37" s="104">
        <v>29</v>
      </c>
      <c r="B37" s="106" t="s">
        <v>298</v>
      </c>
      <c r="C37" s="94">
        <f t="shared" si="4"/>
        <v>4410224.5</v>
      </c>
      <c r="D37" s="29"/>
      <c r="E37" s="29">
        <v>4410224.5</v>
      </c>
      <c r="F37" s="29">
        <f t="shared" si="1"/>
        <v>4228403.1</v>
      </c>
      <c r="G37" s="29"/>
      <c r="H37" s="29">
        <v>4228403.1</v>
      </c>
      <c r="I37" s="29">
        <f t="shared" si="5"/>
        <v>0</v>
      </c>
      <c r="J37" s="29"/>
      <c r="K37" s="29"/>
      <c r="L37" s="29">
        <v>0</v>
      </c>
      <c r="M37" s="84">
        <f t="shared" si="2"/>
        <v>95.87727563528794</v>
      </c>
      <c r="N37" s="29"/>
      <c r="O37" s="29">
        <f t="shared" si="3"/>
        <v>95.87727563528794</v>
      </c>
      <c r="P37" s="74">
        <f t="shared" si="6"/>
        <v>0</v>
      </c>
      <c r="Q37" s="74"/>
    </row>
    <row r="38" spans="1:17" s="75" customFormat="1" ht="19.5" customHeight="1">
      <c r="A38" s="104">
        <v>30</v>
      </c>
      <c r="B38" s="106" t="s">
        <v>299</v>
      </c>
      <c r="C38" s="94">
        <f t="shared" si="4"/>
        <v>3291536.75</v>
      </c>
      <c r="D38" s="29"/>
      <c r="E38" s="29">
        <v>3291536.75</v>
      </c>
      <c r="F38" s="29">
        <f t="shared" si="1"/>
        <v>3290095.5</v>
      </c>
      <c r="G38" s="29"/>
      <c r="H38" s="29">
        <v>3290095.5</v>
      </c>
      <c r="I38" s="29">
        <f t="shared" si="5"/>
        <v>0</v>
      </c>
      <c r="J38" s="29"/>
      <c r="K38" s="29"/>
      <c r="L38" s="29">
        <v>0</v>
      </c>
      <c r="M38" s="84">
        <f t="shared" si="2"/>
        <v>99.95621346169081</v>
      </c>
      <c r="N38" s="29"/>
      <c r="O38" s="29">
        <f t="shared" si="3"/>
        <v>99.95621346169081</v>
      </c>
      <c r="P38" s="74">
        <f t="shared" si="6"/>
        <v>0</v>
      </c>
      <c r="Q38" s="74"/>
    </row>
    <row r="39" spans="1:17" s="75" customFormat="1" ht="19.5" customHeight="1">
      <c r="A39" s="104">
        <v>31</v>
      </c>
      <c r="B39" s="106" t="s">
        <v>300</v>
      </c>
      <c r="C39" s="94">
        <f t="shared" si="4"/>
        <v>3676774</v>
      </c>
      <c r="D39" s="29"/>
      <c r="E39" s="29">
        <v>3676774</v>
      </c>
      <c r="F39" s="29">
        <f t="shared" si="1"/>
        <v>3669243.5</v>
      </c>
      <c r="G39" s="29"/>
      <c r="H39" s="29">
        <v>3669243.5</v>
      </c>
      <c r="I39" s="29">
        <f t="shared" si="5"/>
        <v>0</v>
      </c>
      <c r="J39" s="29"/>
      <c r="K39" s="29"/>
      <c r="L39" s="29">
        <v>0</v>
      </c>
      <c r="M39" s="84">
        <f t="shared" si="2"/>
        <v>99.79518730278227</v>
      </c>
      <c r="N39" s="29"/>
      <c r="O39" s="29">
        <f t="shared" si="3"/>
        <v>99.79518730278227</v>
      </c>
      <c r="P39" s="74">
        <f t="shared" si="6"/>
        <v>0</v>
      </c>
      <c r="Q39" s="74"/>
    </row>
    <row r="40" spans="1:17" s="75" customFormat="1" ht="19.5" customHeight="1">
      <c r="A40" s="104">
        <v>32</v>
      </c>
      <c r="B40" s="106" t="s">
        <v>301</v>
      </c>
      <c r="C40" s="94">
        <f t="shared" si="4"/>
        <v>3800637.7</v>
      </c>
      <c r="D40" s="29"/>
      <c r="E40" s="29">
        <v>3800637.7</v>
      </c>
      <c r="F40" s="29">
        <f t="shared" si="1"/>
        <v>3694289.322</v>
      </c>
      <c r="G40" s="29"/>
      <c r="H40" s="29">
        <v>3694289.322</v>
      </c>
      <c r="I40" s="29">
        <f t="shared" si="5"/>
        <v>0</v>
      </c>
      <c r="J40" s="29"/>
      <c r="K40" s="29"/>
      <c r="L40" s="29">
        <v>0</v>
      </c>
      <c r="M40" s="84">
        <f t="shared" si="2"/>
        <v>97.2018280511189</v>
      </c>
      <c r="N40" s="29"/>
      <c r="O40" s="29">
        <f t="shared" si="3"/>
        <v>97.2018280511189</v>
      </c>
      <c r="P40" s="74">
        <f t="shared" si="6"/>
        <v>0</v>
      </c>
      <c r="Q40" s="74"/>
    </row>
    <row r="41" spans="1:17" s="75" customFormat="1" ht="19.5" customHeight="1">
      <c r="A41" s="104">
        <v>33</v>
      </c>
      <c r="B41" s="106" t="s">
        <v>302</v>
      </c>
      <c r="C41" s="94">
        <f t="shared" si="4"/>
        <v>2158385</v>
      </c>
      <c r="D41" s="29"/>
      <c r="E41" s="29">
        <v>2158385</v>
      </c>
      <c r="F41" s="29">
        <f aca="true" t="shared" si="7" ref="F41:F72">SUM(G41:I41)+L41</f>
        <v>2158229.5</v>
      </c>
      <c r="G41" s="29"/>
      <c r="H41" s="29">
        <v>2158229.5</v>
      </c>
      <c r="I41" s="29">
        <f t="shared" si="5"/>
        <v>0</v>
      </c>
      <c r="J41" s="29"/>
      <c r="K41" s="29"/>
      <c r="L41" s="29">
        <v>0</v>
      </c>
      <c r="M41" s="84">
        <f aca="true" t="shared" si="8" ref="M41:M72">F41/C41*100</f>
        <v>99.99279553925736</v>
      </c>
      <c r="N41" s="29"/>
      <c r="O41" s="29">
        <f aca="true" t="shared" si="9" ref="O41:O72">H41/E41*100</f>
        <v>99.99279553925736</v>
      </c>
      <c r="P41" s="74">
        <f t="shared" si="6"/>
        <v>0</v>
      </c>
      <c r="Q41" s="74"/>
    </row>
    <row r="42" spans="1:17" s="75" customFormat="1" ht="19.5" customHeight="1">
      <c r="A42" s="104">
        <v>34</v>
      </c>
      <c r="B42" s="106" t="s">
        <v>303</v>
      </c>
      <c r="C42" s="94">
        <f t="shared" si="4"/>
        <v>3073187</v>
      </c>
      <c r="D42" s="29"/>
      <c r="E42" s="29">
        <v>3073187</v>
      </c>
      <c r="F42" s="29">
        <f t="shared" si="7"/>
        <v>3072504</v>
      </c>
      <c r="G42" s="29"/>
      <c r="H42" s="29">
        <v>3072504</v>
      </c>
      <c r="I42" s="29">
        <f t="shared" si="5"/>
        <v>0</v>
      </c>
      <c r="J42" s="29"/>
      <c r="K42" s="29"/>
      <c r="L42" s="29">
        <v>0</v>
      </c>
      <c r="M42" s="84">
        <f t="shared" si="8"/>
        <v>99.97777551447406</v>
      </c>
      <c r="N42" s="29"/>
      <c r="O42" s="29">
        <f t="shared" si="9"/>
        <v>99.97777551447406</v>
      </c>
      <c r="P42" s="74">
        <f t="shared" si="6"/>
        <v>0</v>
      </c>
      <c r="Q42" s="74"/>
    </row>
    <row r="43" spans="1:17" s="75" customFormat="1" ht="19.5" customHeight="1">
      <c r="A43" s="104">
        <v>35</v>
      </c>
      <c r="B43" s="106" t="s">
        <v>304</v>
      </c>
      <c r="C43" s="94">
        <f t="shared" si="4"/>
        <v>2631000</v>
      </c>
      <c r="D43" s="29"/>
      <c r="E43" s="29">
        <v>2631000</v>
      </c>
      <c r="F43" s="29">
        <f t="shared" si="7"/>
        <v>2631000</v>
      </c>
      <c r="G43" s="29"/>
      <c r="H43" s="29">
        <v>2631000</v>
      </c>
      <c r="I43" s="29">
        <f t="shared" si="5"/>
        <v>0</v>
      </c>
      <c r="J43" s="29"/>
      <c r="K43" s="29"/>
      <c r="L43" s="29">
        <v>0</v>
      </c>
      <c r="M43" s="84">
        <f t="shared" si="8"/>
        <v>100</v>
      </c>
      <c r="N43" s="29"/>
      <c r="O43" s="29">
        <f t="shared" si="9"/>
        <v>100</v>
      </c>
      <c r="P43" s="74">
        <f t="shared" si="6"/>
        <v>0</v>
      </c>
      <c r="Q43" s="74"/>
    </row>
    <row r="44" spans="1:17" s="75" customFormat="1" ht="19.5" customHeight="1">
      <c r="A44" s="104">
        <v>36</v>
      </c>
      <c r="B44" s="106" t="s">
        <v>305</v>
      </c>
      <c r="C44" s="94">
        <f t="shared" si="4"/>
        <v>4164833.3999999994</v>
      </c>
      <c r="D44" s="29"/>
      <c r="E44" s="29">
        <v>4164833.3999999994</v>
      </c>
      <c r="F44" s="29">
        <f t="shared" si="7"/>
        <v>4108378.2929999996</v>
      </c>
      <c r="G44" s="29"/>
      <c r="H44" s="29">
        <v>4108378.2929999996</v>
      </c>
      <c r="I44" s="29">
        <f t="shared" si="5"/>
        <v>0</v>
      </c>
      <c r="J44" s="29"/>
      <c r="K44" s="29"/>
      <c r="L44" s="29">
        <v>0</v>
      </c>
      <c r="M44" s="84">
        <f t="shared" si="8"/>
        <v>98.64448102533946</v>
      </c>
      <c r="N44" s="29"/>
      <c r="O44" s="29">
        <f t="shared" si="9"/>
        <v>98.64448102533946</v>
      </c>
      <c r="P44" s="74">
        <f t="shared" si="6"/>
        <v>0</v>
      </c>
      <c r="Q44" s="74"/>
    </row>
    <row r="45" spans="1:17" s="75" customFormat="1" ht="19.5" customHeight="1">
      <c r="A45" s="104">
        <v>37</v>
      </c>
      <c r="B45" s="106" t="s">
        <v>306</v>
      </c>
      <c r="C45" s="94">
        <f t="shared" si="4"/>
        <v>4062529.9999999995</v>
      </c>
      <c r="D45" s="29"/>
      <c r="E45" s="29">
        <v>4062529.9999999995</v>
      </c>
      <c r="F45" s="29">
        <f t="shared" si="7"/>
        <v>4062290</v>
      </c>
      <c r="G45" s="29"/>
      <c r="H45" s="29">
        <v>4062290</v>
      </c>
      <c r="I45" s="29">
        <f t="shared" si="5"/>
        <v>0</v>
      </c>
      <c r="J45" s="29"/>
      <c r="K45" s="29"/>
      <c r="L45" s="29">
        <v>0</v>
      </c>
      <c r="M45" s="84">
        <f t="shared" si="8"/>
        <v>99.99409235131803</v>
      </c>
      <c r="N45" s="29"/>
      <c r="O45" s="29">
        <f t="shared" si="9"/>
        <v>99.99409235131803</v>
      </c>
      <c r="P45" s="74">
        <f t="shared" si="6"/>
        <v>0</v>
      </c>
      <c r="Q45" s="74"/>
    </row>
    <row r="46" spans="1:17" s="75" customFormat="1" ht="19.5" customHeight="1">
      <c r="A46" s="104">
        <v>38</v>
      </c>
      <c r="B46" s="106" t="s">
        <v>307</v>
      </c>
      <c r="C46" s="94">
        <f t="shared" si="4"/>
        <v>2673803</v>
      </c>
      <c r="D46" s="29"/>
      <c r="E46" s="29">
        <v>2673803</v>
      </c>
      <c r="F46" s="29">
        <f t="shared" si="7"/>
        <v>2591494.62</v>
      </c>
      <c r="G46" s="29"/>
      <c r="H46" s="29">
        <v>2591494.62</v>
      </c>
      <c r="I46" s="29">
        <f t="shared" si="5"/>
        <v>0</v>
      </c>
      <c r="J46" s="29"/>
      <c r="K46" s="29"/>
      <c r="L46" s="29">
        <v>0</v>
      </c>
      <c r="M46" s="84">
        <f t="shared" si="8"/>
        <v>96.9216737358736</v>
      </c>
      <c r="N46" s="29"/>
      <c r="O46" s="29">
        <f t="shared" si="9"/>
        <v>96.9216737358736</v>
      </c>
      <c r="P46" s="74">
        <f t="shared" si="6"/>
        <v>0</v>
      </c>
      <c r="Q46" s="74"/>
    </row>
    <row r="47" spans="1:17" s="75" customFormat="1" ht="19.5" customHeight="1">
      <c r="A47" s="104">
        <v>39</v>
      </c>
      <c r="B47" s="107" t="s">
        <v>308</v>
      </c>
      <c r="C47" s="94">
        <f t="shared" si="4"/>
        <v>2946345.5</v>
      </c>
      <c r="D47" s="29"/>
      <c r="E47" s="29">
        <v>2946345.5</v>
      </c>
      <c r="F47" s="29">
        <f t="shared" si="7"/>
        <v>2945624.25</v>
      </c>
      <c r="G47" s="29"/>
      <c r="H47" s="29">
        <v>2945624.25</v>
      </c>
      <c r="I47" s="29">
        <f t="shared" si="5"/>
        <v>0</v>
      </c>
      <c r="J47" s="29"/>
      <c r="K47" s="29"/>
      <c r="L47" s="29">
        <v>0</v>
      </c>
      <c r="M47" s="84">
        <f t="shared" si="8"/>
        <v>99.9755205219483</v>
      </c>
      <c r="N47" s="29"/>
      <c r="O47" s="29">
        <f t="shared" si="9"/>
        <v>99.9755205219483</v>
      </c>
      <c r="P47" s="74">
        <f t="shared" si="6"/>
        <v>0</v>
      </c>
      <c r="Q47" s="74"/>
    </row>
    <row r="48" spans="1:17" s="75" customFormat="1" ht="19.5" customHeight="1">
      <c r="A48" s="104">
        <v>40</v>
      </c>
      <c r="B48" s="106" t="s">
        <v>181</v>
      </c>
      <c r="C48" s="94">
        <f t="shared" si="4"/>
        <v>5231569</v>
      </c>
      <c r="D48" s="29"/>
      <c r="E48" s="29">
        <v>5231569</v>
      </c>
      <c r="F48" s="29">
        <f t="shared" si="7"/>
        <v>5231519</v>
      </c>
      <c r="G48" s="29"/>
      <c r="H48" s="29">
        <v>5231519</v>
      </c>
      <c r="I48" s="29">
        <f t="shared" si="5"/>
        <v>0</v>
      </c>
      <c r="J48" s="29"/>
      <c r="K48" s="29"/>
      <c r="L48" s="29">
        <v>0</v>
      </c>
      <c r="M48" s="84">
        <f t="shared" si="8"/>
        <v>99.99904426377631</v>
      </c>
      <c r="N48" s="29"/>
      <c r="O48" s="29">
        <f t="shared" si="9"/>
        <v>99.99904426377631</v>
      </c>
      <c r="P48" s="74">
        <f t="shared" si="6"/>
        <v>0</v>
      </c>
      <c r="Q48" s="74"/>
    </row>
    <row r="49" spans="1:17" s="75" customFormat="1" ht="19.5" customHeight="1">
      <c r="A49" s="104">
        <v>41</v>
      </c>
      <c r="B49" s="106" t="s">
        <v>182</v>
      </c>
      <c r="C49" s="94">
        <f t="shared" si="4"/>
        <v>4832361</v>
      </c>
      <c r="D49" s="29"/>
      <c r="E49" s="29">
        <v>4832361</v>
      </c>
      <c r="F49" s="29">
        <f t="shared" si="7"/>
        <v>4832161</v>
      </c>
      <c r="G49" s="29"/>
      <c r="H49" s="29">
        <v>4832161</v>
      </c>
      <c r="I49" s="29">
        <f t="shared" si="5"/>
        <v>0</v>
      </c>
      <c r="J49" s="29"/>
      <c r="K49" s="29"/>
      <c r="L49" s="29">
        <v>0</v>
      </c>
      <c r="M49" s="84">
        <f t="shared" si="8"/>
        <v>99.99586123636045</v>
      </c>
      <c r="N49" s="29"/>
      <c r="O49" s="29">
        <f t="shared" si="9"/>
        <v>99.99586123636045</v>
      </c>
      <c r="P49" s="74">
        <f t="shared" si="6"/>
        <v>0</v>
      </c>
      <c r="Q49" s="74"/>
    </row>
    <row r="50" spans="1:17" s="75" customFormat="1" ht="19.5" customHeight="1">
      <c r="A50" s="104">
        <v>42</v>
      </c>
      <c r="B50" s="106" t="s">
        <v>183</v>
      </c>
      <c r="C50" s="94">
        <f t="shared" si="4"/>
        <v>3329036</v>
      </c>
      <c r="D50" s="29"/>
      <c r="E50" s="29">
        <v>3329036</v>
      </c>
      <c r="F50" s="29">
        <f t="shared" si="7"/>
        <v>3328832.001</v>
      </c>
      <c r="G50" s="29"/>
      <c r="H50" s="29">
        <v>3328832.001</v>
      </c>
      <c r="I50" s="29">
        <f t="shared" si="5"/>
        <v>0</v>
      </c>
      <c r="J50" s="29"/>
      <c r="K50" s="29"/>
      <c r="L50" s="29">
        <v>0</v>
      </c>
      <c r="M50" s="84">
        <f t="shared" si="8"/>
        <v>99.99387212994993</v>
      </c>
      <c r="N50" s="29"/>
      <c r="O50" s="29">
        <f t="shared" si="9"/>
        <v>99.99387212994993</v>
      </c>
      <c r="P50" s="74">
        <f t="shared" si="6"/>
        <v>0</v>
      </c>
      <c r="Q50" s="74"/>
    </row>
    <row r="51" spans="1:17" s="75" customFormat="1" ht="19.5" customHeight="1">
      <c r="A51" s="104">
        <v>43</v>
      </c>
      <c r="B51" s="106" t="s">
        <v>184</v>
      </c>
      <c r="C51" s="94">
        <f t="shared" si="4"/>
        <v>3581900</v>
      </c>
      <c r="D51" s="29"/>
      <c r="E51" s="29">
        <v>3581900</v>
      </c>
      <c r="F51" s="29">
        <f t="shared" si="7"/>
        <v>3581450</v>
      </c>
      <c r="G51" s="29"/>
      <c r="H51" s="29">
        <v>3581450</v>
      </c>
      <c r="I51" s="29">
        <f t="shared" si="5"/>
        <v>0</v>
      </c>
      <c r="J51" s="29"/>
      <c r="K51" s="29"/>
      <c r="L51" s="29">
        <v>0</v>
      </c>
      <c r="M51" s="84">
        <f t="shared" si="8"/>
        <v>99.98743683519919</v>
      </c>
      <c r="N51" s="29"/>
      <c r="O51" s="29">
        <f t="shared" si="9"/>
        <v>99.98743683519919</v>
      </c>
      <c r="P51" s="74">
        <f t="shared" si="6"/>
        <v>0</v>
      </c>
      <c r="Q51" s="74"/>
    </row>
    <row r="52" spans="1:17" s="75" customFormat="1" ht="19.5" customHeight="1">
      <c r="A52" s="104">
        <v>44</v>
      </c>
      <c r="B52" s="106" t="s">
        <v>185</v>
      </c>
      <c r="C52" s="94">
        <f t="shared" si="4"/>
        <v>5353049</v>
      </c>
      <c r="D52" s="29"/>
      <c r="E52" s="29">
        <v>5353049</v>
      </c>
      <c r="F52" s="29">
        <f t="shared" si="7"/>
        <v>5352874.101</v>
      </c>
      <c r="G52" s="29"/>
      <c r="H52" s="29">
        <v>5352874.101</v>
      </c>
      <c r="I52" s="29">
        <f t="shared" si="5"/>
        <v>0</v>
      </c>
      <c r="J52" s="29"/>
      <c r="K52" s="29"/>
      <c r="L52" s="29">
        <v>0</v>
      </c>
      <c r="M52" s="84">
        <f t="shared" si="8"/>
        <v>99.99673272185628</v>
      </c>
      <c r="N52" s="29"/>
      <c r="O52" s="29">
        <f t="shared" si="9"/>
        <v>99.99673272185628</v>
      </c>
      <c r="P52" s="74">
        <f t="shared" si="6"/>
        <v>0</v>
      </c>
      <c r="Q52" s="74"/>
    </row>
    <row r="53" spans="1:17" s="75" customFormat="1" ht="19.5" customHeight="1">
      <c r="A53" s="104">
        <v>45</v>
      </c>
      <c r="B53" s="106" t="s">
        <v>186</v>
      </c>
      <c r="C53" s="94">
        <f t="shared" si="4"/>
        <v>5555462</v>
      </c>
      <c r="D53" s="29"/>
      <c r="E53" s="29">
        <v>5555462</v>
      </c>
      <c r="F53" s="29">
        <f t="shared" si="7"/>
        <v>5551732</v>
      </c>
      <c r="G53" s="29"/>
      <c r="H53" s="29">
        <v>5485211</v>
      </c>
      <c r="I53" s="29">
        <f t="shared" si="5"/>
        <v>0</v>
      </c>
      <c r="J53" s="29"/>
      <c r="K53" s="29"/>
      <c r="L53" s="29">
        <v>66521</v>
      </c>
      <c r="M53" s="84">
        <f t="shared" si="8"/>
        <v>99.93285886934335</v>
      </c>
      <c r="N53" s="29"/>
      <c r="O53" s="29">
        <f t="shared" si="9"/>
        <v>98.73546070515827</v>
      </c>
      <c r="P53" s="74">
        <f t="shared" si="6"/>
        <v>66.521</v>
      </c>
      <c r="Q53" s="74"/>
    </row>
    <row r="54" spans="1:17" s="75" customFormat="1" ht="19.5" customHeight="1">
      <c r="A54" s="104">
        <v>46</v>
      </c>
      <c r="B54" s="106" t="s">
        <v>187</v>
      </c>
      <c r="C54" s="94">
        <f t="shared" si="4"/>
        <v>7615137</v>
      </c>
      <c r="D54" s="29"/>
      <c r="E54" s="29">
        <v>7615137</v>
      </c>
      <c r="F54" s="29">
        <f t="shared" si="7"/>
        <v>7614924</v>
      </c>
      <c r="G54" s="29"/>
      <c r="H54" s="29">
        <v>7567409</v>
      </c>
      <c r="I54" s="29">
        <f t="shared" si="5"/>
        <v>0</v>
      </c>
      <c r="J54" s="29"/>
      <c r="K54" s="29"/>
      <c r="L54" s="29">
        <v>47515</v>
      </c>
      <c r="M54" s="84">
        <f t="shared" si="8"/>
        <v>99.99720293935617</v>
      </c>
      <c r="N54" s="29"/>
      <c r="O54" s="29">
        <f t="shared" si="9"/>
        <v>99.37324830794245</v>
      </c>
      <c r="P54" s="74">
        <f t="shared" si="6"/>
        <v>47.515</v>
      </c>
      <c r="Q54" s="74"/>
    </row>
    <row r="55" spans="1:17" s="75" customFormat="1" ht="19.5" customHeight="1">
      <c r="A55" s="104">
        <v>47</v>
      </c>
      <c r="B55" s="106" t="s">
        <v>188</v>
      </c>
      <c r="C55" s="94">
        <f t="shared" si="4"/>
        <v>3071700</v>
      </c>
      <c r="D55" s="29"/>
      <c r="E55" s="29">
        <v>3071700</v>
      </c>
      <c r="F55" s="29">
        <f t="shared" si="7"/>
        <v>3071500</v>
      </c>
      <c r="G55" s="29"/>
      <c r="H55" s="29">
        <f>3071500</f>
        <v>3071500</v>
      </c>
      <c r="I55" s="29">
        <f t="shared" si="5"/>
        <v>0</v>
      </c>
      <c r="J55" s="29"/>
      <c r="K55" s="29"/>
      <c r="L55" s="29">
        <v>0</v>
      </c>
      <c r="M55" s="84">
        <f t="shared" si="8"/>
        <v>99.99348894748836</v>
      </c>
      <c r="N55" s="29"/>
      <c r="O55" s="29">
        <f t="shared" si="9"/>
        <v>99.99348894748836</v>
      </c>
      <c r="P55" s="74">
        <f t="shared" si="6"/>
        <v>0</v>
      </c>
      <c r="Q55" s="74"/>
    </row>
    <row r="56" spans="1:17" s="75" customFormat="1" ht="19.5" customHeight="1">
      <c r="A56" s="104">
        <v>48</v>
      </c>
      <c r="B56" s="106" t="s">
        <v>189</v>
      </c>
      <c r="C56" s="94">
        <f t="shared" si="4"/>
        <v>3176493</v>
      </c>
      <c r="D56" s="29"/>
      <c r="E56" s="29">
        <v>3176493</v>
      </c>
      <c r="F56" s="29">
        <f t="shared" si="7"/>
        <v>3176492.537</v>
      </c>
      <c r="G56" s="29"/>
      <c r="H56" s="29">
        <v>3128977.537</v>
      </c>
      <c r="I56" s="29">
        <f t="shared" si="5"/>
        <v>0</v>
      </c>
      <c r="J56" s="29"/>
      <c r="K56" s="29"/>
      <c r="L56" s="29">
        <v>47515</v>
      </c>
      <c r="M56" s="84">
        <f t="shared" si="8"/>
        <v>99.99998542417691</v>
      </c>
      <c r="N56" s="29"/>
      <c r="O56" s="29">
        <f t="shared" si="9"/>
        <v>98.50415338551038</v>
      </c>
      <c r="P56" s="74">
        <f t="shared" si="6"/>
        <v>47.515</v>
      </c>
      <c r="Q56" s="74"/>
    </row>
    <row r="57" spans="1:17" s="75" customFormat="1" ht="19.5" customHeight="1">
      <c r="A57" s="104">
        <v>49</v>
      </c>
      <c r="B57" s="106" t="s">
        <v>190</v>
      </c>
      <c r="C57" s="94">
        <f t="shared" si="4"/>
        <v>4060244</v>
      </c>
      <c r="D57" s="29"/>
      <c r="E57" s="29">
        <v>4060244</v>
      </c>
      <c r="F57" s="29">
        <f t="shared" si="7"/>
        <v>4058398.133</v>
      </c>
      <c r="G57" s="29"/>
      <c r="H57" s="29">
        <v>4058398.133</v>
      </c>
      <c r="I57" s="29">
        <f t="shared" si="5"/>
        <v>0</v>
      </c>
      <c r="J57" s="29"/>
      <c r="K57" s="29"/>
      <c r="L57" s="29">
        <v>0</v>
      </c>
      <c r="M57" s="84">
        <f t="shared" si="8"/>
        <v>99.95453802776385</v>
      </c>
      <c r="N57" s="29"/>
      <c r="O57" s="29">
        <f t="shared" si="9"/>
        <v>99.95453802776385</v>
      </c>
      <c r="P57" s="74">
        <f t="shared" si="6"/>
        <v>0</v>
      </c>
      <c r="Q57" s="74"/>
    </row>
    <row r="58" spans="1:17" s="75" customFormat="1" ht="19.5" customHeight="1">
      <c r="A58" s="104">
        <v>50</v>
      </c>
      <c r="B58" s="106" t="s">
        <v>191</v>
      </c>
      <c r="C58" s="94">
        <f t="shared" si="4"/>
        <v>3873167</v>
      </c>
      <c r="D58" s="29"/>
      <c r="E58" s="29">
        <v>3873167</v>
      </c>
      <c r="F58" s="29">
        <f t="shared" si="7"/>
        <v>3871920.981</v>
      </c>
      <c r="G58" s="29"/>
      <c r="H58" s="29">
        <v>3871920.981</v>
      </c>
      <c r="I58" s="29">
        <f t="shared" si="5"/>
        <v>0</v>
      </c>
      <c r="J58" s="29"/>
      <c r="K58" s="29"/>
      <c r="L58" s="29">
        <v>0</v>
      </c>
      <c r="M58" s="84">
        <f t="shared" si="8"/>
        <v>99.96782945326139</v>
      </c>
      <c r="N58" s="29"/>
      <c r="O58" s="29">
        <f t="shared" si="9"/>
        <v>99.96782945326139</v>
      </c>
      <c r="P58" s="74">
        <f t="shared" si="6"/>
        <v>0</v>
      </c>
      <c r="Q58" s="74"/>
    </row>
    <row r="59" spans="1:17" s="75" customFormat="1" ht="19.5" customHeight="1">
      <c r="A59" s="104">
        <v>51</v>
      </c>
      <c r="B59" s="106" t="s">
        <v>192</v>
      </c>
      <c r="C59" s="94">
        <f t="shared" si="4"/>
        <v>4910875</v>
      </c>
      <c r="D59" s="29"/>
      <c r="E59" s="29">
        <v>4910875</v>
      </c>
      <c r="F59" s="29">
        <f t="shared" si="7"/>
        <v>4910475</v>
      </c>
      <c r="G59" s="29"/>
      <c r="H59" s="29">
        <v>4910475</v>
      </c>
      <c r="I59" s="29">
        <f t="shared" si="5"/>
        <v>0</v>
      </c>
      <c r="J59" s="29"/>
      <c r="K59" s="29"/>
      <c r="L59" s="29">
        <v>0</v>
      </c>
      <c r="M59" s="84">
        <f t="shared" si="8"/>
        <v>99.99185481202434</v>
      </c>
      <c r="N59" s="29"/>
      <c r="O59" s="29">
        <f t="shared" si="9"/>
        <v>99.99185481202434</v>
      </c>
      <c r="P59" s="74">
        <f t="shared" si="6"/>
        <v>0</v>
      </c>
      <c r="Q59" s="74"/>
    </row>
    <row r="60" spans="1:17" s="75" customFormat="1" ht="19.5" customHeight="1">
      <c r="A60" s="104">
        <v>52</v>
      </c>
      <c r="B60" s="106" t="s">
        <v>193</v>
      </c>
      <c r="C60" s="94">
        <f t="shared" si="4"/>
        <v>3020047</v>
      </c>
      <c r="D60" s="29"/>
      <c r="E60" s="29">
        <v>3020047</v>
      </c>
      <c r="F60" s="29">
        <f t="shared" si="7"/>
        <v>3019410</v>
      </c>
      <c r="G60" s="29"/>
      <c r="H60" s="29">
        <v>2962392</v>
      </c>
      <c r="I60" s="29">
        <f t="shared" si="5"/>
        <v>0</v>
      </c>
      <c r="J60" s="29"/>
      <c r="K60" s="29"/>
      <c r="L60" s="29">
        <v>57018</v>
      </c>
      <c r="M60" s="84">
        <f t="shared" si="8"/>
        <v>99.97890761302722</v>
      </c>
      <c r="N60" s="29"/>
      <c r="O60" s="29">
        <f t="shared" si="9"/>
        <v>98.09092375052441</v>
      </c>
      <c r="P60" s="74">
        <f t="shared" si="6"/>
        <v>57.018</v>
      </c>
      <c r="Q60" s="74"/>
    </row>
    <row r="61" spans="1:17" s="75" customFormat="1" ht="19.5" customHeight="1">
      <c r="A61" s="104">
        <v>53</v>
      </c>
      <c r="B61" s="106" t="s">
        <v>194</v>
      </c>
      <c r="C61" s="94">
        <f t="shared" si="4"/>
        <v>5559662</v>
      </c>
      <c r="D61" s="29"/>
      <c r="E61" s="29">
        <v>5559662</v>
      </c>
      <c r="F61" s="29">
        <f t="shared" si="7"/>
        <v>5559662</v>
      </c>
      <c r="G61" s="29"/>
      <c r="H61" s="29">
        <v>5559662</v>
      </c>
      <c r="I61" s="29">
        <f t="shared" si="5"/>
        <v>0</v>
      </c>
      <c r="J61" s="29"/>
      <c r="K61" s="29"/>
      <c r="L61" s="29">
        <v>0</v>
      </c>
      <c r="M61" s="84">
        <f t="shared" si="8"/>
        <v>100</v>
      </c>
      <c r="N61" s="29"/>
      <c r="O61" s="29">
        <f t="shared" si="9"/>
        <v>100</v>
      </c>
      <c r="P61" s="74">
        <f t="shared" si="6"/>
        <v>0</v>
      </c>
      <c r="Q61" s="74"/>
    </row>
    <row r="62" spans="1:17" s="75" customFormat="1" ht="19.5" customHeight="1">
      <c r="A62" s="104">
        <v>54</v>
      </c>
      <c r="B62" s="106" t="s">
        <v>195</v>
      </c>
      <c r="C62" s="94">
        <f t="shared" si="4"/>
        <v>4259227</v>
      </c>
      <c r="D62" s="29"/>
      <c r="E62" s="29">
        <v>4259227</v>
      </c>
      <c r="F62" s="29">
        <f t="shared" si="7"/>
        <v>4258161.37</v>
      </c>
      <c r="G62" s="29"/>
      <c r="H62" s="29">
        <v>4258161.37</v>
      </c>
      <c r="I62" s="29">
        <f t="shared" si="5"/>
        <v>0</v>
      </c>
      <c r="J62" s="29"/>
      <c r="K62" s="29"/>
      <c r="L62" s="29">
        <v>0</v>
      </c>
      <c r="M62" s="84">
        <f t="shared" si="8"/>
        <v>99.97498067137535</v>
      </c>
      <c r="N62" s="29"/>
      <c r="O62" s="29">
        <f t="shared" si="9"/>
        <v>99.97498067137535</v>
      </c>
      <c r="P62" s="74">
        <f t="shared" si="6"/>
        <v>0</v>
      </c>
      <c r="Q62" s="74"/>
    </row>
    <row r="63" spans="1:17" s="75" customFormat="1" ht="19.5" customHeight="1">
      <c r="A63" s="104">
        <v>55</v>
      </c>
      <c r="B63" s="106" t="s">
        <v>196</v>
      </c>
      <c r="C63" s="94">
        <f t="shared" si="4"/>
        <v>5802772</v>
      </c>
      <c r="D63" s="29"/>
      <c r="E63" s="29">
        <v>5802772</v>
      </c>
      <c r="F63" s="29">
        <f t="shared" si="7"/>
        <v>5795843.716</v>
      </c>
      <c r="G63" s="29"/>
      <c r="H63" s="29">
        <v>5795843.716</v>
      </c>
      <c r="I63" s="29">
        <f t="shared" si="5"/>
        <v>0</v>
      </c>
      <c r="J63" s="29"/>
      <c r="K63" s="29"/>
      <c r="L63" s="29">
        <v>0</v>
      </c>
      <c r="M63" s="84">
        <f t="shared" si="8"/>
        <v>99.88060389069224</v>
      </c>
      <c r="N63" s="29"/>
      <c r="O63" s="29">
        <f t="shared" si="9"/>
        <v>99.88060389069224</v>
      </c>
      <c r="P63" s="74">
        <f t="shared" si="6"/>
        <v>0</v>
      </c>
      <c r="Q63" s="74"/>
    </row>
    <row r="64" spans="1:17" s="75" customFormat="1" ht="19.5" customHeight="1">
      <c r="A64" s="104">
        <v>56</v>
      </c>
      <c r="B64" s="106" t="s">
        <v>197</v>
      </c>
      <c r="C64" s="94">
        <f t="shared" si="4"/>
        <v>5928050</v>
      </c>
      <c r="D64" s="29"/>
      <c r="E64" s="29">
        <v>5928050</v>
      </c>
      <c r="F64" s="29">
        <f t="shared" si="7"/>
        <v>5927950</v>
      </c>
      <c r="G64" s="29"/>
      <c r="H64" s="29">
        <v>5927950</v>
      </c>
      <c r="I64" s="29">
        <f t="shared" si="5"/>
        <v>0</v>
      </c>
      <c r="J64" s="29"/>
      <c r="K64" s="29"/>
      <c r="L64" s="29">
        <v>0</v>
      </c>
      <c r="M64" s="84">
        <f t="shared" si="8"/>
        <v>99.99831310464656</v>
      </c>
      <c r="N64" s="29"/>
      <c r="O64" s="29">
        <f t="shared" si="9"/>
        <v>99.99831310464656</v>
      </c>
      <c r="P64" s="74">
        <f t="shared" si="6"/>
        <v>0</v>
      </c>
      <c r="Q64" s="74"/>
    </row>
    <row r="65" spans="1:17" s="75" customFormat="1" ht="19.5" customHeight="1">
      <c r="A65" s="104">
        <v>57</v>
      </c>
      <c r="B65" s="106" t="s">
        <v>198</v>
      </c>
      <c r="C65" s="94">
        <f aca="true" t="shared" si="10" ref="C65:C116">SUM(D65:E65)</f>
        <v>7736726</v>
      </c>
      <c r="D65" s="29"/>
      <c r="E65" s="29">
        <v>7736726</v>
      </c>
      <c r="F65" s="29">
        <f t="shared" si="7"/>
        <v>7735676</v>
      </c>
      <c r="G65" s="29"/>
      <c r="H65" s="29">
        <v>7735676</v>
      </c>
      <c r="I65" s="29">
        <f aca="true" t="shared" si="11" ref="I65:I116">SUM(J65:K65)</f>
        <v>0</v>
      </c>
      <c r="J65" s="29"/>
      <c r="K65" s="29"/>
      <c r="L65" s="29">
        <v>0</v>
      </c>
      <c r="M65" s="84">
        <f t="shared" si="8"/>
        <v>99.98642836776176</v>
      </c>
      <c r="N65" s="29"/>
      <c r="O65" s="29">
        <f t="shared" si="9"/>
        <v>99.98642836776176</v>
      </c>
      <c r="P65" s="74">
        <f aca="true" t="shared" si="12" ref="P65:P116">L65/1000</f>
        <v>0</v>
      </c>
      <c r="Q65" s="74"/>
    </row>
    <row r="66" spans="1:17" s="75" customFormat="1" ht="19.5" customHeight="1">
      <c r="A66" s="104">
        <v>58</v>
      </c>
      <c r="B66" s="106" t="s">
        <v>199</v>
      </c>
      <c r="C66" s="94">
        <f t="shared" si="10"/>
        <v>5948544</v>
      </c>
      <c r="D66" s="29"/>
      <c r="E66" s="29">
        <v>5948544</v>
      </c>
      <c r="F66" s="29">
        <f t="shared" si="7"/>
        <v>5948068.55</v>
      </c>
      <c r="G66" s="29"/>
      <c r="H66" s="29">
        <v>5891050.55</v>
      </c>
      <c r="I66" s="29">
        <f t="shared" si="11"/>
        <v>0</v>
      </c>
      <c r="J66" s="29"/>
      <c r="K66" s="29"/>
      <c r="L66" s="29">
        <v>57018</v>
      </c>
      <c r="M66" s="84">
        <f t="shared" si="8"/>
        <v>99.9920072878338</v>
      </c>
      <c r="N66" s="29"/>
      <c r="O66" s="29">
        <f t="shared" si="9"/>
        <v>99.0334870179997</v>
      </c>
      <c r="P66" s="74">
        <f t="shared" si="12"/>
        <v>57.018</v>
      </c>
      <c r="Q66" s="74"/>
    </row>
    <row r="67" spans="1:17" s="75" customFormat="1" ht="19.5" customHeight="1">
      <c r="A67" s="104">
        <v>59</v>
      </c>
      <c r="B67" s="106" t="s">
        <v>200</v>
      </c>
      <c r="C67" s="94">
        <f t="shared" si="10"/>
        <v>4911865</v>
      </c>
      <c r="D67" s="29"/>
      <c r="E67" s="29">
        <v>4911865</v>
      </c>
      <c r="F67" s="29">
        <f t="shared" si="7"/>
        <v>4911343.259</v>
      </c>
      <c r="G67" s="29"/>
      <c r="H67" s="29">
        <v>4911343.259</v>
      </c>
      <c r="I67" s="29">
        <f t="shared" si="11"/>
        <v>0</v>
      </c>
      <c r="J67" s="29"/>
      <c r="K67" s="29"/>
      <c r="L67" s="29">
        <v>0</v>
      </c>
      <c r="M67" s="84">
        <f t="shared" si="8"/>
        <v>99.98937794503716</v>
      </c>
      <c r="N67" s="29"/>
      <c r="O67" s="29">
        <f t="shared" si="9"/>
        <v>99.98937794503716</v>
      </c>
      <c r="P67" s="74">
        <f t="shared" si="12"/>
        <v>0</v>
      </c>
      <c r="Q67" s="74"/>
    </row>
    <row r="68" spans="1:17" s="75" customFormat="1" ht="19.5" customHeight="1">
      <c r="A68" s="104">
        <v>60</v>
      </c>
      <c r="B68" s="106" t="s">
        <v>201</v>
      </c>
      <c r="C68" s="94">
        <f t="shared" si="10"/>
        <v>4581548</v>
      </c>
      <c r="D68" s="29"/>
      <c r="E68" s="29">
        <v>4581548</v>
      </c>
      <c r="F68" s="29">
        <f t="shared" si="7"/>
        <v>4580056.337</v>
      </c>
      <c r="G68" s="29"/>
      <c r="H68" s="29">
        <v>4580056.337</v>
      </c>
      <c r="I68" s="29">
        <f t="shared" si="11"/>
        <v>0</v>
      </c>
      <c r="J68" s="29"/>
      <c r="K68" s="29"/>
      <c r="L68" s="29">
        <v>0</v>
      </c>
      <c r="M68" s="84">
        <f t="shared" si="8"/>
        <v>99.96744194320348</v>
      </c>
      <c r="N68" s="29"/>
      <c r="O68" s="29">
        <f t="shared" si="9"/>
        <v>99.96744194320348</v>
      </c>
      <c r="P68" s="74">
        <f t="shared" si="12"/>
        <v>0</v>
      </c>
      <c r="Q68" s="74"/>
    </row>
    <row r="69" spans="1:17" s="75" customFormat="1" ht="19.5" customHeight="1">
      <c r="A69" s="104">
        <v>61</v>
      </c>
      <c r="B69" s="106" t="s">
        <v>202</v>
      </c>
      <c r="C69" s="94">
        <f t="shared" si="10"/>
        <v>3386268</v>
      </c>
      <c r="D69" s="29"/>
      <c r="E69" s="29">
        <v>3386268</v>
      </c>
      <c r="F69" s="29">
        <f t="shared" si="7"/>
        <v>3385768</v>
      </c>
      <c r="G69" s="29"/>
      <c r="H69" s="29">
        <v>3328750</v>
      </c>
      <c r="I69" s="29">
        <f t="shared" si="11"/>
        <v>0</v>
      </c>
      <c r="J69" s="29"/>
      <c r="K69" s="29"/>
      <c r="L69" s="29">
        <v>57018</v>
      </c>
      <c r="M69" s="84">
        <f t="shared" si="8"/>
        <v>99.98523448232686</v>
      </c>
      <c r="N69" s="29"/>
      <c r="O69" s="29">
        <f t="shared" si="9"/>
        <v>98.30143390895228</v>
      </c>
      <c r="P69" s="74">
        <f t="shared" si="12"/>
        <v>57.018</v>
      </c>
      <c r="Q69" s="74"/>
    </row>
    <row r="70" spans="1:17" s="75" customFormat="1" ht="19.5" customHeight="1">
      <c r="A70" s="104">
        <v>62</v>
      </c>
      <c r="B70" s="108" t="s">
        <v>203</v>
      </c>
      <c r="C70" s="94">
        <f t="shared" si="10"/>
        <v>7922045</v>
      </c>
      <c r="D70" s="29"/>
      <c r="E70" s="29">
        <v>7922045</v>
      </c>
      <c r="F70" s="29">
        <f t="shared" si="7"/>
        <v>7921762.954</v>
      </c>
      <c r="G70" s="29"/>
      <c r="H70" s="29">
        <v>7921762.954</v>
      </c>
      <c r="I70" s="29">
        <f t="shared" si="11"/>
        <v>0</v>
      </c>
      <c r="J70" s="29"/>
      <c r="K70" s="29"/>
      <c r="L70" s="29">
        <v>0</v>
      </c>
      <c r="M70" s="84">
        <f t="shared" si="8"/>
        <v>99.99643973241757</v>
      </c>
      <c r="N70" s="29"/>
      <c r="O70" s="29">
        <f t="shared" si="9"/>
        <v>99.99643973241757</v>
      </c>
      <c r="P70" s="74">
        <f t="shared" si="12"/>
        <v>0</v>
      </c>
      <c r="Q70" s="74"/>
    </row>
    <row r="71" spans="1:17" s="75" customFormat="1" ht="19.5" customHeight="1">
      <c r="A71" s="104">
        <v>63</v>
      </c>
      <c r="B71" s="108" t="s">
        <v>204</v>
      </c>
      <c r="C71" s="94">
        <f t="shared" si="10"/>
        <v>4974832</v>
      </c>
      <c r="D71" s="29"/>
      <c r="E71" s="29">
        <v>4974832</v>
      </c>
      <c r="F71" s="29">
        <f t="shared" si="7"/>
        <v>4974832</v>
      </c>
      <c r="G71" s="29"/>
      <c r="H71" s="29">
        <v>4860796</v>
      </c>
      <c r="I71" s="29">
        <f t="shared" si="11"/>
        <v>0</v>
      </c>
      <c r="J71" s="29"/>
      <c r="K71" s="29"/>
      <c r="L71" s="29">
        <v>114036</v>
      </c>
      <c r="M71" s="84">
        <f t="shared" si="8"/>
        <v>100</v>
      </c>
      <c r="N71" s="29"/>
      <c r="O71" s="29">
        <f t="shared" si="9"/>
        <v>97.70774168856356</v>
      </c>
      <c r="P71" s="74">
        <f t="shared" si="12"/>
        <v>114.036</v>
      </c>
      <c r="Q71" s="74"/>
    </row>
    <row r="72" spans="1:17" s="75" customFormat="1" ht="19.5" customHeight="1">
      <c r="A72" s="104">
        <v>64</v>
      </c>
      <c r="B72" s="108" t="s">
        <v>205</v>
      </c>
      <c r="C72" s="94">
        <f t="shared" si="10"/>
        <v>7533221</v>
      </c>
      <c r="D72" s="29"/>
      <c r="E72" s="29">
        <v>7533221</v>
      </c>
      <c r="F72" s="29">
        <f t="shared" si="7"/>
        <v>7531222.092</v>
      </c>
      <c r="G72" s="29"/>
      <c r="H72" s="29">
        <v>7417186.092</v>
      </c>
      <c r="I72" s="29">
        <f t="shared" si="11"/>
        <v>0</v>
      </c>
      <c r="J72" s="29"/>
      <c r="K72" s="29"/>
      <c r="L72" s="29">
        <v>114036</v>
      </c>
      <c r="M72" s="84">
        <f t="shared" si="8"/>
        <v>99.97346542733845</v>
      </c>
      <c r="N72" s="29"/>
      <c r="O72" s="29">
        <f t="shared" si="9"/>
        <v>98.45969064228967</v>
      </c>
      <c r="P72" s="74">
        <f t="shared" si="12"/>
        <v>114.036</v>
      </c>
      <c r="Q72" s="74"/>
    </row>
    <row r="73" spans="1:17" s="75" customFormat="1" ht="19.5" customHeight="1">
      <c r="A73" s="104">
        <v>65</v>
      </c>
      <c r="B73" s="108" t="s">
        <v>206</v>
      </c>
      <c r="C73" s="94">
        <f t="shared" si="10"/>
        <v>7188343</v>
      </c>
      <c r="D73" s="29"/>
      <c r="E73" s="29">
        <v>7188343</v>
      </c>
      <c r="F73" s="29">
        <f aca="true" t="shared" si="13" ref="F73:F104">SUM(G73:I73)+L73</f>
        <v>7188343</v>
      </c>
      <c r="G73" s="29"/>
      <c r="H73" s="29">
        <v>7188343</v>
      </c>
      <c r="I73" s="29">
        <f t="shared" si="11"/>
        <v>0</v>
      </c>
      <c r="J73" s="29"/>
      <c r="K73" s="29"/>
      <c r="L73" s="29">
        <v>0</v>
      </c>
      <c r="M73" s="84">
        <f aca="true" t="shared" si="14" ref="M73:M104">F73/C73*100</f>
        <v>100</v>
      </c>
      <c r="N73" s="29"/>
      <c r="O73" s="29">
        <f aca="true" t="shared" si="15" ref="O73:O104">H73/E73*100</f>
        <v>100</v>
      </c>
      <c r="P73" s="74">
        <f t="shared" si="12"/>
        <v>0</v>
      </c>
      <c r="Q73" s="74"/>
    </row>
    <row r="74" spans="1:17" s="75" customFormat="1" ht="19.5" customHeight="1">
      <c r="A74" s="104">
        <v>66</v>
      </c>
      <c r="B74" s="108" t="s">
        <v>207</v>
      </c>
      <c r="C74" s="94">
        <f t="shared" si="10"/>
        <v>6768299</v>
      </c>
      <c r="D74" s="29"/>
      <c r="E74" s="29">
        <v>6768299</v>
      </c>
      <c r="F74" s="29">
        <f t="shared" si="13"/>
        <v>6767895.39</v>
      </c>
      <c r="G74" s="29"/>
      <c r="H74" s="29">
        <v>6767895.39</v>
      </c>
      <c r="I74" s="29">
        <f t="shared" si="11"/>
        <v>0</v>
      </c>
      <c r="J74" s="29"/>
      <c r="K74" s="29"/>
      <c r="L74" s="29">
        <v>0</v>
      </c>
      <c r="M74" s="84">
        <f t="shared" si="14"/>
        <v>99.99403675871883</v>
      </c>
      <c r="N74" s="29"/>
      <c r="O74" s="29">
        <f t="shared" si="15"/>
        <v>99.99403675871883</v>
      </c>
      <c r="P74" s="74">
        <f t="shared" si="12"/>
        <v>0</v>
      </c>
      <c r="Q74" s="74"/>
    </row>
    <row r="75" spans="1:17" s="75" customFormat="1" ht="19.5" customHeight="1">
      <c r="A75" s="104">
        <v>67</v>
      </c>
      <c r="B75" s="108" t="s">
        <v>208</v>
      </c>
      <c r="C75" s="94">
        <f t="shared" si="10"/>
        <v>5004713</v>
      </c>
      <c r="D75" s="29"/>
      <c r="E75" s="29">
        <v>5004713</v>
      </c>
      <c r="F75" s="29">
        <f t="shared" si="13"/>
        <v>5004613</v>
      </c>
      <c r="G75" s="29"/>
      <c r="H75" s="29">
        <v>5004613</v>
      </c>
      <c r="I75" s="29">
        <f t="shared" si="11"/>
        <v>0</v>
      </c>
      <c r="J75" s="29"/>
      <c r="K75" s="29"/>
      <c r="L75" s="29">
        <v>0</v>
      </c>
      <c r="M75" s="84">
        <f t="shared" si="14"/>
        <v>99.99800188342468</v>
      </c>
      <c r="N75" s="29"/>
      <c r="O75" s="29">
        <f t="shared" si="15"/>
        <v>99.99800188342468</v>
      </c>
      <c r="P75" s="74">
        <f t="shared" si="12"/>
        <v>0</v>
      </c>
      <c r="Q75" s="74"/>
    </row>
    <row r="76" spans="1:17" s="75" customFormat="1" ht="19.5" customHeight="1">
      <c r="A76" s="104">
        <v>68</v>
      </c>
      <c r="B76" s="108" t="s">
        <v>209</v>
      </c>
      <c r="C76" s="94">
        <f t="shared" si="10"/>
        <v>6752876.8</v>
      </c>
      <c r="D76" s="29"/>
      <c r="E76" s="29">
        <v>6752876.8</v>
      </c>
      <c r="F76" s="29">
        <f t="shared" si="13"/>
        <v>6750560.988</v>
      </c>
      <c r="G76" s="29"/>
      <c r="H76" s="29">
        <v>6646027.988</v>
      </c>
      <c r="I76" s="29">
        <f t="shared" si="11"/>
        <v>0</v>
      </c>
      <c r="J76" s="29"/>
      <c r="K76" s="29"/>
      <c r="L76" s="29">
        <v>104533</v>
      </c>
      <c r="M76" s="84">
        <f t="shared" si="14"/>
        <v>99.96570628979934</v>
      </c>
      <c r="N76" s="29"/>
      <c r="O76" s="29">
        <f t="shared" si="15"/>
        <v>98.4177289892213</v>
      </c>
      <c r="P76" s="74">
        <f t="shared" si="12"/>
        <v>104.533</v>
      </c>
      <c r="Q76" s="74"/>
    </row>
    <row r="77" spans="1:17" s="75" customFormat="1" ht="19.5" customHeight="1">
      <c r="A77" s="104">
        <v>69</v>
      </c>
      <c r="B77" s="108" t="s">
        <v>210</v>
      </c>
      <c r="C77" s="94">
        <f t="shared" si="10"/>
        <v>4413877</v>
      </c>
      <c r="D77" s="29"/>
      <c r="E77" s="29">
        <v>4413877</v>
      </c>
      <c r="F77" s="29">
        <f t="shared" si="13"/>
        <v>4413877</v>
      </c>
      <c r="G77" s="29"/>
      <c r="H77" s="29">
        <v>4413877</v>
      </c>
      <c r="I77" s="29">
        <f t="shared" si="11"/>
        <v>0</v>
      </c>
      <c r="J77" s="29"/>
      <c r="K77" s="29"/>
      <c r="L77" s="29">
        <v>0</v>
      </c>
      <c r="M77" s="84">
        <f t="shared" si="14"/>
        <v>100</v>
      </c>
      <c r="N77" s="29"/>
      <c r="O77" s="29">
        <f t="shared" si="15"/>
        <v>100</v>
      </c>
      <c r="P77" s="74">
        <f t="shared" si="12"/>
        <v>0</v>
      </c>
      <c r="Q77" s="74"/>
    </row>
    <row r="78" spans="1:17" s="75" customFormat="1" ht="19.5" customHeight="1">
      <c r="A78" s="104">
        <v>70</v>
      </c>
      <c r="B78" s="108" t="s">
        <v>211</v>
      </c>
      <c r="C78" s="94">
        <f t="shared" si="10"/>
        <v>4531547</v>
      </c>
      <c r="D78" s="29"/>
      <c r="E78" s="29">
        <v>4531547</v>
      </c>
      <c r="F78" s="29">
        <f t="shared" si="13"/>
        <v>4531547</v>
      </c>
      <c r="G78" s="29"/>
      <c r="H78" s="29">
        <v>4531547</v>
      </c>
      <c r="I78" s="29">
        <f t="shared" si="11"/>
        <v>0</v>
      </c>
      <c r="J78" s="29"/>
      <c r="K78" s="29"/>
      <c r="L78" s="29">
        <v>0</v>
      </c>
      <c r="M78" s="84">
        <f t="shared" si="14"/>
        <v>100</v>
      </c>
      <c r="N78" s="29"/>
      <c r="O78" s="29">
        <f t="shared" si="15"/>
        <v>100</v>
      </c>
      <c r="P78" s="74">
        <f t="shared" si="12"/>
        <v>0</v>
      </c>
      <c r="Q78" s="74"/>
    </row>
    <row r="79" spans="1:17" s="75" customFormat="1" ht="19.5" customHeight="1">
      <c r="A79" s="104">
        <v>71</v>
      </c>
      <c r="B79" s="108" t="s">
        <v>212</v>
      </c>
      <c r="C79" s="94">
        <f t="shared" si="10"/>
        <v>6014925</v>
      </c>
      <c r="D79" s="29"/>
      <c r="E79" s="29">
        <v>6014925</v>
      </c>
      <c r="F79" s="29">
        <f t="shared" si="13"/>
        <v>6014925</v>
      </c>
      <c r="G79" s="29"/>
      <c r="H79" s="29">
        <v>6014925</v>
      </c>
      <c r="I79" s="29">
        <f t="shared" si="11"/>
        <v>0</v>
      </c>
      <c r="J79" s="29"/>
      <c r="K79" s="29"/>
      <c r="L79" s="29">
        <v>0</v>
      </c>
      <c r="M79" s="84">
        <f t="shared" si="14"/>
        <v>100</v>
      </c>
      <c r="N79" s="29"/>
      <c r="O79" s="29">
        <f t="shared" si="15"/>
        <v>100</v>
      </c>
      <c r="P79" s="74">
        <f t="shared" si="12"/>
        <v>0</v>
      </c>
      <c r="Q79" s="74"/>
    </row>
    <row r="80" spans="1:17" s="75" customFormat="1" ht="19.5" customHeight="1">
      <c r="A80" s="104">
        <v>72</v>
      </c>
      <c r="B80" s="108" t="s">
        <v>213</v>
      </c>
      <c r="C80" s="94">
        <f>SUM(D80:E80)</f>
        <v>4534010</v>
      </c>
      <c r="D80" s="29"/>
      <c r="E80" s="29">
        <v>4534010</v>
      </c>
      <c r="F80" s="29">
        <f t="shared" si="13"/>
        <v>4532865.039</v>
      </c>
      <c r="G80" s="29"/>
      <c r="H80" s="29">
        <v>4418829.039</v>
      </c>
      <c r="I80" s="29">
        <f>SUM(J80:K80)</f>
        <v>0</v>
      </c>
      <c r="J80" s="29"/>
      <c r="K80" s="29"/>
      <c r="L80" s="29">
        <v>114036</v>
      </c>
      <c r="M80" s="84">
        <f t="shared" si="14"/>
        <v>99.97474727669325</v>
      </c>
      <c r="N80" s="29"/>
      <c r="O80" s="29">
        <f t="shared" si="15"/>
        <v>97.45962269602406</v>
      </c>
      <c r="P80" s="74"/>
      <c r="Q80" s="74"/>
    </row>
    <row r="81" spans="1:17" s="75" customFormat="1" ht="19.5" customHeight="1">
      <c r="A81" s="104">
        <v>73</v>
      </c>
      <c r="B81" s="108" t="s">
        <v>214</v>
      </c>
      <c r="C81" s="94">
        <f t="shared" si="10"/>
        <v>3179010</v>
      </c>
      <c r="D81" s="29"/>
      <c r="E81" s="29">
        <v>3179010</v>
      </c>
      <c r="F81" s="29">
        <f t="shared" si="13"/>
        <v>3178312.37</v>
      </c>
      <c r="G81" s="29"/>
      <c r="H81" s="29">
        <v>3178312.37</v>
      </c>
      <c r="I81" s="29">
        <f t="shared" si="11"/>
        <v>0</v>
      </c>
      <c r="J81" s="29"/>
      <c r="K81" s="29"/>
      <c r="L81" s="29">
        <v>0</v>
      </c>
      <c r="M81" s="84">
        <f t="shared" si="14"/>
        <v>99.97805511778824</v>
      </c>
      <c r="N81" s="29"/>
      <c r="O81" s="29">
        <f t="shared" si="15"/>
        <v>99.97805511778824</v>
      </c>
      <c r="P81" s="74">
        <f t="shared" si="12"/>
        <v>0</v>
      </c>
      <c r="Q81" s="74"/>
    </row>
    <row r="82" spans="1:17" s="75" customFormat="1" ht="19.5" customHeight="1">
      <c r="A82" s="104">
        <v>74</v>
      </c>
      <c r="B82" s="108" t="s">
        <v>215</v>
      </c>
      <c r="C82" s="94">
        <f t="shared" si="10"/>
        <v>5512184</v>
      </c>
      <c r="D82" s="29"/>
      <c r="E82" s="29">
        <v>5512184</v>
      </c>
      <c r="F82" s="29">
        <f t="shared" si="13"/>
        <v>5511184</v>
      </c>
      <c r="G82" s="29"/>
      <c r="H82" s="29">
        <v>5397148</v>
      </c>
      <c r="I82" s="29">
        <f t="shared" si="11"/>
        <v>0</v>
      </c>
      <c r="J82" s="29"/>
      <c r="K82" s="29"/>
      <c r="L82" s="29">
        <v>114036</v>
      </c>
      <c r="M82" s="84">
        <f t="shared" si="14"/>
        <v>99.9818583704753</v>
      </c>
      <c r="N82" s="29"/>
      <c r="O82" s="29">
        <f t="shared" si="15"/>
        <v>97.91305950599617</v>
      </c>
      <c r="P82" s="74">
        <f t="shared" si="12"/>
        <v>114.036</v>
      </c>
      <c r="Q82" s="74"/>
    </row>
    <row r="83" spans="1:17" s="75" customFormat="1" ht="19.5" customHeight="1">
      <c r="A83" s="104">
        <v>75</v>
      </c>
      <c r="B83" s="108" t="s">
        <v>176</v>
      </c>
      <c r="C83" s="94">
        <f t="shared" si="10"/>
        <v>2589124</v>
      </c>
      <c r="D83" s="29"/>
      <c r="E83" s="29">
        <v>2589124</v>
      </c>
      <c r="F83" s="29">
        <f t="shared" si="13"/>
        <v>2572058.795</v>
      </c>
      <c r="G83" s="29"/>
      <c r="H83" s="29">
        <f>2589057.937-16999.142</f>
        <v>2572058.795</v>
      </c>
      <c r="I83" s="29">
        <f t="shared" si="11"/>
        <v>0</v>
      </c>
      <c r="J83" s="29"/>
      <c r="K83" s="29"/>
      <c r="L83" s="29">
        <v>0</v>
      </c>
      <c r="M83" s="84">
        <f t="shared" si="14"/>
        <v>99.34088884889252</v>
      </c>
      <c r="N83" s="29"/>
      <c r="O83" s="29">
        <f t="shared" si="15"/>
        <v>99.34088884889252</v>
      </c>
      <c r="P83" s="74">
        <f t="shared" si="12"/>
        <v>0</v>
      </c>
      <c r="Q83" s="74"/>
    </row>
    <row r="84" spans="1:17" s="75" customFormat="1" ht="19.5" customHeight="1">
      <c r="A84" s="104">
        <v>76</v>
      </c>
      <c r="B84" s="108" t="s">
        <v>177</v>
      </c>
      <c r="C84" s="94">
        <f t="shared" si="10"/>
        <v>5400265</v>
      </c>
      <c r="D84" s="29"/>
      <c r="E84" s="29">
        <v>5400265</v>
      </c>
      <c r="F84" s="29">
        <f t="shared" si="13"/>
        <v>5394328.362</v>
      </c>
      <c r="G84" s="29"/>
      <c r="H84" s="29">
        <v>5394328.362</v>
      </c>
      <c r="I84" s="29">
        <f t="shared" si="11"/>
        <v>0</v>
      </c>
      <c r="J84" s="29"/>
      <c r="K84" s="29"/>
      <c r="L84" s="29">
        <v>0</v>
      </c>
      <c r="M84" s="84">
        <f t="shared" si="14"/>
        <v>99.89006765408735</v>
      </c>
      <c r="N84" s="29"/>
      <c r="O84" s="29">
        <f t="shared" si="15"/>
        <v>99.89006765408735</v>
      </c>
      <c r="P84" s="74">
        <f t="shared" si="12"/>
        <v>0</v>
      </c>
      <c r="Q84" s="74"/>
    </row>
    <row r="85" spans="1:17" s="75" customFormat="1" ht="19.5" customHeight="1">
      <c r="A85" s="104">
        <v>77</v>
      </c>
      <c r="B85" s="108" t="s">
        <v>178</v>
      </c>
      <c r="C85" s="94">
        <f t="shared" si="10"/>
        <v>4621444</v>
      </c>
      <c r="D85" s="29"/>
      <c r="E85" s="29">
        <v>4621444</v>
      </c>
      <c r="F85" s="29">
        <f t="shared" si="13"/>
        <v>4604945.258</v>
      </c>
      <c r="G85" s="29"/>
      <c r="H85" s="29">
        <v>4494558.258</v>
      </c>
      <c r="I85" s="29">
        <f t="shared" si="11"/>
        <v>0</v>
      </c>
      <c r="J85" s="29"/>
      <c r="K85" s="29"/>
      <c r="L85" s="29">
        <v>110387</v>
      </c>
      <c r="M85" s="84">
        <f t="shared" si="14"/>
        <v>99.64299595537672</v>
      </c>
      <c r="N85" s="29"/>
      <c r="O85" s="29">
        <f t="shared" si="15"/>
        <v>97.25441351231348</v>
      </c>
      <c r="P85" s="74">
        <f t="shared" si="12"/>
        <v>110.387</v>
      </c>
      <c r="Q85" s="74"/>
    </row>
    <row r="86" spans="1:17" s="75" customFormat="1" ht="19.5" customHeight="1">
      <c r="A86" s="104">
        <v>78</v>
      </c>
      <c r="B86" s="108" t="s">
        <v>179</v>
      </c>
      <c r="C86" s="94">
        <f t="shared" si="10"/>
        <v>7399558.399999999</v>
      </c>
      <c r="D86" s="29"/>
      <c r="E86" s="29">
        <v>7399558.399999999</v>
      </c>
      <c r="F86" s="29">
        <f t="shared" si="13"/>
        <v>7376380.87</v>
      </c>
      <c r="G86" s="29"/>
      <c r="H86" s="29">
        <v>7376380.87</v>
      </c>
      <c r="I86" s="29">
        <f t="shared" si="11"/>
        <v>0</v>
      </c>
      <c r="J86" s="29"/>
      <c r="K86" s="29"/>
      <c r="L86" s="29">
        <v>0</v>
      </c>
      <c r="M86" s="84">
        <f t="shared" si="14"/>
        <v>99.68677144300938</v>
      </c>
      <c r="N86" s="29"/>
      <c r="O86" s="29">
        <f t="shared" si="15"/>
        <v>99.68677144300938</v>
      </c>
      <c r="P86" s="74">
        <f t="shared" si="12"/>
        <v>0</v>
      </c>
      <c r="Q86" s="74"/>
    </row>
    <row r="87" spans="1:17" s="75" customFormat="1" ht="19.5" customHeight="1">
      <c r="A87" s="104">
        <v>79</v>
      </c>
      <c r="B87" s="108" t="s">
        <v>180</v>
      </c>
      <c r="C87" s="94">
        <f t="shared" si="10"/>
        <v>6270641</v>
      </c>
      <c r="D87" s="29"/>
      <c r="E87" s="29">
        <v>6270641</v>
      </c>
      <c r="F87" s="29">
        <f t="shared" si="13"/>
        <v>6270401</v>
      </c>
      <c r="G87" s="29"/>
      <c r="H87" s="29">
        <v>6270401</v>
      </c>
      <c r="I87" s="29">
        <f t="shared" si="11"/>
        <v>0</v>
      </c>
      <c r="J87" s="29"/>
      <c r="K87" s="29"/>
      <c r="L87" s="29">
        <v>0</v>
      </c>
      <c r="M87" s="84">
        <f t="shared" si="14"/>
        <v>99.99617264008576</v>
      </c>
      <c r="N87" s="29"/>
      <c r="O87" s="29">
        <f t="shared" si="15"/>
        <v>99.99617264008576</v>
      </c>
      <c r="P87" s="74">
        <f t="shared" si="12"/>
        <v>0</v>
      </c>
      <c r="Q87" s="74"/>
    </row>
    <row r="88" spans="1:17" s="75" customFormat="1" ht="19.5" customHeight="1">
      <c r="A88" s="104">
        <v>80</v>
      </c>
      <c r="B88" s="105" t="s">
        <v>309</v>
      </c>
      <c r="C88" s="94">
        <f t="shared" si="10"/>
        <v>2609350</v>
      </c>
      <c r="D88" s="29"/>
      <c r="E88" s="29">
        <v>2609350</v>
      </c>
      <c r="F88" s="29">
        <f t="shared" si="13"/>
        <v>2608339.7</v>
      </c>
      <c r="G88" s="29"/>
      <c r="H88" s="29">
        <v>2608339.7</v>
      </c>
      <c r="I88" s="29">
        <f t="shared" si="11"/>
        <v>0</v>
      </c>
      <c r="J88" s="29"/>
      <c r="K88" s="29"/>
      <c r="L88" s="29">
        <v>0</v>
      </c>
      <c r="M88" s="84">
        <f t="shared" si="14"/>
        <v>99.96128154521242</v>
      </c>
      <c r="N88" s="29"/>
      <c r="O88" s="29">
        <f t="shared" si="15"/>
        <v>99.96128154521242</v>
      </c>
      <c r="P88" s="74">
        <f t="shared" si="12"/>
        <v>0</v>
      </c>
      <c r="Q88" s="74"/>
    </row>
    <row r="89" spans="1:17" s="75" customFormat="1" ht="19.5" customHeight="1">
      <c r="A89" s="104">
        <v>81</v>
      </c>
      <c r="B89" s="105" t="s">
        <v>310</v>
      </c>
      <c r="C89" s="94">
        <f t="shared" si="10"/>
        <v>2957406</v>
      </c>
      <c r="D89" s="29"/>
      <c r="E89" s="29">
        <v>2957406</v>
      </c>
      <c r="F89" s="29">
        <f t="shared" si="13"/>
        <v>2906443.881</v>
      </c>
      <c r="G89" s="29"/>
      <c r="H89" s="29">
        <v>2797373.636</v>
      </c>
      <c r="I89" s="29">
        <f t="shared" si="11"/>
        <v>0</v>
      </c>
      <c r="J89" s="29"/>
      <c r="K89" s="29"/>
      <c r="L89" s="29">
        <v>109070.245</v>
      </c>
      <c r="M89" s="84">
        <f t="shared" si="14"/>
        <v>98.27679665896397</v>
      </c>
      <c r="N89" s="29"/>
      <c r="O89" s="29">
        <f t="shared" si="15"/>
        <v>94.58875906791289</v>
      </c>
      <c r="P89" s="74">
        <f t="shared" si="12"/>
        <v>109.070245</v>
      </c>
      <c r="Q89" s="74"/>
    </row>
    <row r="90" spans="1:17" s="75" customFormat="1" ht="19.5" customHeight="1">
      <c r="A90" s="104">
        <v>82</v>
      </c>
      <c r="B90" s="105" t="s">
        <v>311</v>
      </c>
      <c r="C90" s="94">
        <f t="shared" si="10"/>
        <v>614000</v>
      </c>
      <c r="D90" s="29"/>
      <c r="E90" s="29">
        <v>614000</v>
      </c>
      <c r="F90" s="29">
        <f t="shared" si="13"/>
        <v>613999.133</v>
      </c>
      <c r="G90" s="29"/>
      <c r="H90" s="29">
        <v>613999.133</v>
      </c>
      <c r="I90" s="29">
        <f t="shared" si="11"/>
        <v>0</v>
      </c>
      <c r="J90" s="29"/>
      <c r="K90" s="29"/>
      <c r="L90" s="29">
        <v>0</v>
      </c>
      <c r="M90" s="84">
        <f t="shared" si="14"/>
        <v>99.99985879478828</v>
      </c>
      <c r="N90" s="29"/>
      <c r="O90" s="29">
        <f t="shared" si="15"/>
        <v>99.99985879478828</v>
      </c>
      <c r="P90" s="74">
        <f t="shared" si="12"/>
        <v>0</v>
      </c>
      <c r="Q90" s="74"/>
    </row>
    <row r="91" spans="1:17" s="75" customFormat="1" ht="19.5" customHeight="1">
      <c r="A91" s="104">
        <v>83</v>
      </c>
      <c r="B91" s="105" t="s">
        <v>312</v>
      </c>
      <c r="C91" s="94">
        <f t="shared" si="10"/>
        <v>1870000</v>
      </c>
      <c r="D91" s="29"/>
      <c r="E91" s="29">
        <v>1870000</v>
      </c>
      <c r="F91" s="29">
        <f t="shared" si="13"/>
        <v>1870000</v>
      </c>
      <c r="G91" s="29"/>
      <c r="H91" s="29">
        <v>1870000</v>
      </c>
      <c r="I91" s="29">
        <f t="shared" si="11"/>
        <v>0</v>
      </c>
      <c r="J91" s="29"/>
      <c r="K91" s="29"/>
      <c r="L91" s="29">
        <v>0</v>
      </c>
      <c r="M91" s="84">
        <f t="shared" si="14"/>
        <v>100</v>
      </c>
      <c r="N91" s="29"/>
      <c r="O91" s="29">
        <f t="shared" si="15"/>
        <v>100</v>
      </c>
      <c r="P91" s="74">
        <f t="shared" si="12"/>
        <v>0</v>
      </c>
      <c r="Q91" s="74"/>
    </row>
    <row r="92" spans="1:17" s="75" customFormat="1" ht="19.5" customHeight="1">
      <c r="A92" s="104">
        <v>84</v>
      </c>
      <c r="B92" s="105" t="s">
        <v>313</v>
      </c>
      <c r="C92" s="94">
        <f t="shared" si="10"/>
        <v>18480095</v>
      </c>
      <c r="D92" s="29">
        <v>13030559</v>
      </c>
      <c r="E92" s="29">
        <f>18480095-D92</f>
        <v>5449536</v>
      </c>
      <c r="F92" s="29">
        <f t="shared" si="13"/>
        <v>8726980</v>
      </c>
      <c r="G92" s="29">
        <v>6170083</v>
      </c>
      <c r="H92" s="29">
        <f>7394883-G92</f>
        <v>1224800</v>
      </c>
      <c r="I92" s="29">
        <f t="shared" si="11"/>
        <v>0</v>
      </c>
      <c r="J92" s="29"/>
      <c r="K92" s="29"/>
      <c r="L92" s="29">
        <v>1332097</v>
      </c>
      <c r="M92" s="84">
        <f t="shared" si="14"/>
        <v>47.223674986519285</v>
      </c>
      <c r="N92" s="29"/>
      <c r="O92" s="29">
        <f t="shared" si="15"/>
        <v>22.475307989524246</v>
      </c>
      <c r="P92" s="74">
        <f t="shared" si="12"/>
        <v>1332.097</v>
      </c>
      <c r="Q92" s="74"/>
    </row>
    <row r="93" spans="1:17" s="75" customFormat="1" ht="19.5" customHeight="1">
      <c r="A93" s="104">
        <v>85</v>
      </c>
      <c r="B93" s="105" t="s">
        <v>174</v>
      </c>
      <c r="C93" s="94">
        <f t="shared" si="10"/>
        <v>1948976</v>
      </c>
      <c r="D93" s="29"/>
      <c r="E93" s="29">
        <v>1948976</v>
      </c>
      <c r="F93" s="29">
        <f t="shared" si="13"/>
        <v>1948943.663</v>
      </c>
      <c r="G93" s="29"/>
      <c r="H93" s="29">
        <v>1948943.663</v>
      </c>
      <c r="I93" s="29">
        <f t="shared" si="11"/>
        <v>0</v>
      </c>
      <c r="J93" s="29"/>
      <c r="K93" s="29"/>
      <c r="L93" s="29">
        <v>0</v>
      </c>
      <c r="M93" s="84">
        <f t="shared" si="14"/>
        <v>99.998340821026</v>
      </c>
      <c r="N93" s="29"/>
      <c r="O93" s="29">
        <f t="shared" si="15"/>
        <v>99.998340821026</v>
      </c>
      <c r="P93" s="74">
        <f t="shared" si="12"/>
        <v>0</v>
      </c>
      <c r="Q93" s="74"/>
    </row>
    <row r="94" spans="1:17" s="75" customFormat="1" ht="19.5" customHeight="1">
      <c r="A94" s="104">
        <v>86</v>
      </c>
      <c r="B94" s="105" t="s">
        <v>173</v>
      </c>
      <c r="C94" s="94">
        <f t="shared" si="10"/>
        <v>73779329</v>
      </c>
      <c r="D94" s="29">
        <f>48679329+4500000</f>
        <v>53179329</v>
      </c>
      <c r="E94" s="29">
        <f>73779329-D94</f>
        <v>20600000</v>
      </c>
      <c r="F94" s="29">
        <f>SUM(G94:I94)+L94</f>
        <v>65396723</v>
      </c>
      <c r="G94" s="29">
        <f>38653812+4197380</f>
        <v>42851192</v>
      </c>
      <c r="H94" s="29">
        <f>63271783-G94-G95</f>
        <v>15920591</v>
      </c>
      <c r="I94" s="29">
        <f t="shared" si="11"/>
        <v>0</v>
      </c>
      <c r="J94" s="29"/>
      <c r="K94" s="29"/>
      <c r="L94" s="29">
        <v>6624940</v>
      </c>
      <c r="M94" s="84">
        <f t="shared" si="14"/>
        <v>88.63827292330078</v>
      </c>
      <c r="N94" s="29"/>
      <c r="O94" s="29">
        <f t="shared" si="15"/>
        <v>77.28442233009709</v>
      </c>
      <c r="P94" s="74">
        <f t="shared" si="12"/>
        <v>6624.94</v>
      </c>
      <c r="Q94" s="74"/>
    </row>
    <row r="95" spans="1:17" s="75" customFormat="1" ht="19.5" customHeight="1">
      <c r="A95" s="104">
        <v>86</v>
      </c>
      <c r="B95" s="115" t="s">
        <v>320</v>
      </c>
      <c r="C95" s="94">
        <f>SUM(D95:E95)</f>
        <v>4500000</v>
      </c>
      <c r="D95" s="29">
        <v>4500000</v>
      </c>
      <c r="E95" s="29">
        <v>0</v>
      </c>
      <c r="F95" s="29">
        <f>SUM(G95:I95)+L95</f>
        <v>4500000</v>
      </c>
      <c r="G95" s="29">
        <v>4500000</v>
      </c>
      <c r="H95" s="29">
        <v>0</v>
      </c>
      <c r="I95" s="29">
        <f>SUM(J95:K95)</f>
        <v>0</v>
      </c>
      <c r="J95" s="29"/>
      <c r="K95" s="29"/>
      <c r="L95" s="29">
        <v>0</v>
      </c>
      <c r="M95" s="84">
        <f t="shared" si="14"/>
        <v>100</v>
      </c>
      <c r="N95" s="29">
        <f>G95/D95*100</f>
        <v>100</v>
      </c>
      <c r="O95" s="29"/>
      <c r="P95" s="74">
        <f>L95/1000</f>
        <v>0</v>
      </c>
      <c r="Q95" s="74"/>
    </row>
    <row r="96" spans="1:17" s="75" customFormat="1" ht="19.5" customHeight="1">
      <c r="A96" s="104">
        <v>87</v>
      </c>
      <c r="B96" s="109" t="s">
        <v>220</v>
      </c>
      <c r="C96" s="94">
        <f t="shared" si="10"/>
        <v>506154</v>
      </c>
      <c r="D96" s="29"/>
      <c r="E96" s="29">
        <v>506154</v>
      </c>
      <c r="F96" s="29">
        <f t="shared" si="13"/>
        <v>553595</v>
      </c>
      <c r="G96" s="29"/>
      <c r="H96" s="29">
        <v>553595</v>
      </c>
      <c r="I96" s="29">
        <f t="shared" si="11"/>
        <v>0</v>
      </c>
      <c r="J96" s="29"/>
      <c r="K96" s="29"/>
      <c r="L96" s="29">
        <v>0</v>
      </c>
      <c r="M96" s="84">
        <f t="shared" si="14"/>
        <v>109.37283909640149</v>
      </c>
      <c r="N96" s="29"/>
      <c r="O96" s="29">
        <f t="shared" si="15"/>
        <v>109.37283909640149</v>
      </c>
      <c r="P96" s="74">
        <f t="shared" si="12"/>
        <v>0</v>
      </c>
      <c r="Q96" s="74"/>
    </row>
    <row r="97" spans="1:17" s="75" customFormat="1" ht="19.5" customHeight="1">
      <c r="A97" s="104">
        <v>88</v>
      </c>
      <c r="B97" s="109" t="s">
        <v>222</v>
      </c>
      <c r="C97" s="94">
        <f t="shared" si="10"/>
        <v>108000</v>
      </c>
      <c r="D97" s="29"/>
      <c r="E97" s="29">
        <v>108000</v>
      </c>
      <c r="F97" s="29">
        <f t="shared" si="13"/>
        <v>108000</v>
      </c>
      <c r="G97" s="29"/>
      <c r="H97" s="29">
        <v>108000</v>
      </c>
      <c r="I97" s="29">
        <f t="shared" si="11"/>
        <v>0</v>
      </c>
      <c r="J97" s="29"/>
      <c r="K97" s="29"/>
      <c r="L97" s="29">
        <v>0</v>
      </c>
      <c r="M97" s="84">
        <f t="shared" si="14"/>
        <v>100</v>
      </c>
      <c r="N97" s="29"/>
      <c r="O97" s="29">
        <f t="shared" si="15"/>
        <v>100</v>
      </c>
      <c r="P97" s="74">
        <f t="shared" si="12"/>
        <v>0</v>
      </c>
      <c r="Q97" s="74"/>
    </row>
    <row r="98" spans="1:17" s="75" customFormat="1" ht="19.5" customHeight="1">
      <c r="A98" s="104">
        <v>89</v>
      </c>
      <c r="B98" s="110" t="s">
        <v>219</v>
      </c>
      <c r="C98" s="94">
        <f t="shared" si="10"/>
        <v>76000</v>
      </c>
      <c r="D98" s="29"/>
      <c r="E98" s="29">
        <v>76000</v>
      </c>
      <c r="F98" s="29">
        <f t="shared" si="13"/>
        <v>76000</v>
      </c>
      <c r="G98" s="29"/>
      <c r="H98" s="29">
        <v>76000</v>
      </c>
      <c r="I98" s="29">
        <f t="shared" si="11"/>
        <v>0</v>
      </c>
      <c r="J98" s="29"/>
      <c r="K98" s="29"/>
      <c r="L98" s="29">
        <v>0</v>
      </c>
      <c r="M98" s="84">
        <f t="shared" si="14"/>
        <v>100</v>
      </c>
      <c r="N98" s="29"/>
      <c r="O98" s="29">
        <f t="shared" si="15"/>
        <v>100</v>
      </c>
      <c r="P98" s="74"/>
      <c r="Q98" s="74"/>
    </row>
    <row r="99" spans="1:17" s="75" customFormat="1" ht="19.5" customHeight="1">
      <c r="A99" s="104">
        <v>90</v>
      </c>
      <c r="B99" s="110" t="s">
        <v>223</v>
      </c>
      <c r="C99" s="94">
        <f t="shared" si="10"/>
        <v>58000</v>
      </c>
      <c r="D99" s="29"/>
      <c r="E99" s="29">
        <v>58000</v>
      </c>
      <c r="F99" s="29">
        <f t="shared" si="13"/>
        <v>58000</v>
      </c>
      <c r="G99" s="29"/>
      <c r="H99" s="29">
        <v>58000</v>
      </c>
      <c r="I99" s="29">
        <f t="shared" si="11"/>
        <v>0</v>
      </c>
      <c r="J99" s="29"/>
      <c r="K99" s="29"/>
      <c r="L99" s="29">
        <v>0</v>
      </c>
      <c r="M99" s="84">
        <f t="shared" si="14"/>
        <v>100</v>
      </c>
      <c r="N99" s="29"/>
      <c r="O99" s="29">
        <f t="shared" si="15"/>
        <v>100</v>
      </c>
      <c r="P99" s="74"/>
      <c r="Q99" s="74"/>
    </row>
    <row r="100" spans="1:17" s="75" customFormat="1" ht="19.5" customHeight="1">
      <c r="A100" s="104">
        <v>91</v>
      </c>
      <c r="B100" s="110" t="s">
        <v>221</v>
      </c>
      <c r="C100" s="94">
        <f t="shared" si="10"/>
        <v>58000</v>
      </c>
      <c r="D100" s="29"/>
      <c r="E100" s="29">
        <v>58000</v>
      </c>
      <c r="F100" s="29">
        <f t="shared" si="13"/>
        <v>58000</v>
      </c>
      <c r="G100" s="29"/>
      <c r="H100" s="29">
        <v>58000</v>
      </c>
      <c r="I100" s="29">
        <f t="shared" si="11"/>
        <v>0</v>
      </c>
      <c r="J100" s="29"/>
      <c r="K100" s="29"/>
      <c r="L100" s="29">
        <v>0</v>
      </c>
      <c r="M100" s="84">
        <f t="shared" si="14"/>
        <v>100</v>
      </c>
      <c r="N100" s="29"/>
      <c r="O100" s="29">
        <f t="shared" si="15"/>
        <v>100</v>
      </c>
      <c r="P100" s="74"/>
      <c r="Q100" s="74"/>
    </row>
    <row r="101" spans="1:17" s="75" customFormat="1" ht="19.5" customHeight="1">
      <c r="A101" s="104">
        <v>92</v>
      </c>
      <c r="B101" s="110" t="s">
        <v>224</v>
      </c>
      <c r="C101" s="94">
        <f t="shared" si="10"/>
        <v>76000</v>
      </c>
      <c r="D101" s="29"/>
      <c r="E101" s="29">
        <v>76000</v>
      </c>
      <c r="F101" s="29">
        <f t="shared" si="13"/>
        <v>76000</v>
      </c>
      <c r="G101" s="29"/>
      <c r="H101" s="29">
        <v>76000</v>
      </c>
      <c r="I101" s="29">
        <f t="shared" si="11"/>
        <v>0</v>
      </c>
      <c r="J101" s="29"/>
      <c r="K101" s="29"/>
      <c r="L101" s="29">
        <v>0</v>
      </c>
      <c r="M101" s="84">
        <f t="shared" si="14"/>
        <v>100</v>
      </c>
      <c r="N101" s="29"/>
      <c r="O101" s="29">
        <f t="shared" si="15"/>
        <v>100</v>
      </c>
      <c r="P101" s="74"/>
      <c r="Q101" s="74"/>
    </row>
    <row r="102" spans="1:17" s="75" customFormat="1" ht="19.5" customHeight="1">
      <c r="A102" s="104">
        <v>93</v>
      </c>
      <c r="B102" s="110" t="s">
        <v>216</v>
      </c>
      <c r="C102" s="94">
        <f t="shared" si="10"/>
        <v>58000</v>
      </c>
      <c r="D102" s="29"/>
      <c r="E102" s="29">
        <v>58000</v>
      </c>
      <c r="F102" s="29">
        <f t="shared" si="13"/>
        <v>58000</v>
      </c>
      <c r="G102" s="29"/>
      <c r="H102" s="29">
        <v>58000</v>
      </c>
      <c r="I102" s="29">
        <f t="shared" si="11"/>
        <v>0</v>
      </c>
      <c r="J102" s="29"/>
      <c r="K102" s="29"/>
      <c r="L102" s="29">
        <v>0</v>
      </c>
      <c r="M102" s="84">
        <f t="shared" si="14"/>
        <v>100</v>
      </c>
      <c r="N102" s="29"/>
      <c r="O102" s="29">
        <f t="shared" si="15"/>
        <v>100</v>
      </c>
      <c r="P102" s="74"/>
      <c r="Q102" s="74"/>
    </row>
    <row r="103" spans="1:17" s="75" customFormat="1" ht="19.5" customHeight="1">
      <c r="A103" s="104">
        <v>94</v>
      </c>
      <c r="B103" s="110" t="s">
        <v>218</v>
      </c>
      <c r="C103" s="94">
        <f t="shared" si="10"/>
        <v>36000</v>
      </c>
      <c r="D103" s="29"/>
      <c r="E103" s="29">
        <v>36000</v>
      </c>
      <c r="F103" s="29">
        <f t="shared" si="13"/>
        <v>36000</v>
      </c>
      <c r="G103" s="29"/>
      <c r="H103" s="29">
        <v>36000</v>
      </c>
      <c r="I103" s="29">
        <f t="shared" si="11"/>
        <v>0</v>
      </c>
      <c r="J103" s="29"/>
      <c r="K103" s="29"/>
      <c r="L103" s="29">
        <v>0</v>
      </c>
      <c r="M103" s="84">
        <f t="shared" si="14"/>
        <v>100</v>
      </c>
      <c r="N103" s="29"/>
      <c r="O103" s="29">
        <f t="shared" si="15"/>
        <v>100</v>
      </c>
      <c r="P103" s="74"/>
      <c r="Q103" s="74"/>
    </row>
    <row r="104" spans="1:17" s="75" customFormat="1" ht="19.5" customHeight="1">
      <c r="A104" s="104">
        <v>95</v>
      </c>
      <c r="B104" s="110" t="s">
        <v>217</v>
      </c>
      <c r="C104" s="94">
        <f t="shared" si="10"/>
        <v>58000</v>
      </c>
      <c r="D104" s="29"/>
      <c r="E104" s="29">
        <v>58000</v>
      </c>
      <c r="F104" s="29">
        <f t="shared" si="13"/>
        <v>58000</v>
      </c>
      <c r="G104" s="29"/>
      <c r="H104" s="29">
        <v>58000</v>
      </c>
      <c r="I104" s="29">
        <f t="shared" si="11"/>
        <v>0</v>
      </c>
      <c r="J104" s="29"/>
      <c r="K104" s="29"/>
      <c r="L104" s="29">
        <v>0</v>
      </c>
      <c r="M104" s="84">
        <f t="shared" si="14"/>
        <v>100</v>
      </c>
      <c r="N104" s="29"/>
      <c r="O104" s="29">
        <f t="shared" si="15"/>
        <v>100</v>
      </c>
      <c r="P104" s="74"/>
      <c r="Q104" s="74"/>
    </row>
    <row r="105" spans="1:17" s="75" customFormat="1" ht="19.5" customHeight="1">
      <c r="A105" s="104">
        <v>96</v>
      </c>
      <c r="B105" s="105" t="s">
        <v>143</v>
      </c>
      <c r="C105" s="94">
        <f t="shared" si="10"/>
        <v>300000</v>
      </c>
      <c r="D105" s="29">
        <v>300000</v>
      </c>
      <c r="E105" s="29"/>
      <c r="F105" s="29">
        <f aca="true" t="shared" si="16" ref="F105:F136">SUM(G105:I105)+L105</f>
        <v>300000</v>
      </c>
      <c r="G105" s="29">
        <v>300000</v>
      </c>
      <c r="H105" s="29"/>
      <c r="I105" s="29">
        <f t="shared" si="11"/>
        <v>0</v>
      </c>
      <c r="J105" s="29"/>
      <c r="K105" s="29"/>
      <c r="L105" s="29">
        <v>0</v>
      </c>
      <c r="M105" s="84">
        <f aca="true" t="shared" si="17" ref="M105:M138">F105/C105*100</f>
        <v>100</v>
      </c>
      <c r="N105" s="29">
        <f aca="true" t="shared" si="18" ref="N105:N120">G105/D106*100</f>
        <v>44.776119402985074</v>
      </c>
      <c r="O105" s="29"/>
      <c r="P105" s="74"/>
      <c r="Q105" s="74"/>
    </row>
    <row r="106" spans="1:17" s="75" customFormat="1" ht="19.5" customHeight="1">
      <c r="A106" s="104">
        <v>97</v>
      </c>
      <c r="B106" s="105" t="s">
        <v>314</v>
      </c>
      <c r="C106" s="94">
        <f t="shared" si="10"/>
        <v>670000</v>
      </c>
      <c r="D106" s="29">
        <v>670000</v>
      </c>
      <c r="E106" s="29"/>
      <c r="F106" s="29">
        <v>467568</v>
      </c>
      <c r="G106" s="29">
        <v>467568</v>
      </c>
      <c r="H106" s="29"/>
      <c r="I106" s="29">
        <f t="shared" si="11"/>
        <v>0</v>
      </c>
      <c r="J106" s="29"/>
      <c r="K106" s="29"/>
      <c r="L106" s="29">
        <v>0</v>
      </c>
      <c r="M106" s="84">
        <f t="shared" si="17"/>
        <v>69.78626865671642</v>
      </c>
      <c r="N106" s="29">
        <f t="shared" si="18"/>
        <v>20.757081574787208</v>
      </c>
      <c r="O106" s="29"/>
      <c r="P106" s="74"/>
      <c r="Q106" s="74"/>
    </row>
    <row r="107" spans="1:17" s="75" customFormat="1" ht="19.5" customHeight="1">
      <c r="A107" s="104">
        <v>98</v>
      </c>
      <c r="B107" s="105" t="s">
        <v>168</v>
      </c>
      <c r="C107" s="94">
        <f t="shared" si="10"/>
        <v>2252571</v>
      </c>
      <c r="D107" s="29">
        <v>2252571</v>
      </c>
      <c r="E107" s="29"/>
      <c r="F107" s="29">
        <f t="shared" si="16"/>
        <v>2317616</v>
      </c>
      <c r="G107" s="29">
        <f>1958616-I107</f>
        <v>1942816</v>
      </c>
      <c r="H107" s="29"/>
      <c r="I107" s="29">
        <f t="shared" si="11"/>
        <v>15800</v>
      </c>
      <c r="J107" s="29">
        <v>15800</v>
      </c>
      <c r="K107" s="29"/>
      <c r="L107" s="29">
        <v>359000</v>
      </c>
      <c r="M107" s="84">
        <f t="shared" si="17"/>
        <v>102.88758933680671</v>
      </c>
      <c r="N107" s="29">
        <f t="shared" si="18"/>
        <v>146.08847348276927</v>
      </c>
      <c r="O107" s="29"/>
      <c r="P107" s="74"/>
      <c r="Q107" s="74"/>
    </row>
    <row r="108" spans="1:17" s="75" customFormat="1" ht="19.5" customHeight="1">
      <c r="A108" s="104">
        <v>99</v>
      </c>
      <c r="B108" s="105" t="s">
        <v>154</v>
      </c>
      <c r="C108" s="94">
        <f t="shared" si="10"/>
        <v>1329889.9999999998</v>
      </c>
      <c r="D108" s="29">
        <v>1329889.9999999998</v>
      </c>
      <c r="E108" s="29"/>
      <c r="F108" s="29">
        <f t="shared" si="16"/>
        <v>1112404</v>
      </c>
      <c r="G108" s="29">
        <v>1112404</v>
      </c>
      <c r="H108" s="29"/>
      <c r="I108" s="29">
        <f t="shared" si="11"/>
        <v>0</v>
      </c>
      <c r="J108" s="29"/>
      <c r="K108" s="29"/>
      <c r="L108" s="29">
        <v>0</v>
      </c>
      <c r="M108" s="84">
        <f t="shared" si="17"/>
        <v>83.6463166126522</v>
      </c>
      <c r="N108" s="29">
        <f t="shared" si="18"/>
        <v>182.39689382026984</v>
      </c>
      <c r="O108" s="29"/>
      <c r="P108" s="74"/>
      <c r="Q108" s="74"/>
    </row>
    <row r="109" spans="1:17" s="75" customFormat="1" ht="19.5" customHeight="1">
      <c r="A109" s="104">
        <v>100</v>
      </c>
      <c r="B109" s="105" t="s">
        <v>155</v>
      </c>
      <c r="C109" s="94">
        <f t="shared" si="10"/>
        <v>609881</v>
      </c>
      <c r="D109" s="29">
        <v>609881</v>
      </c>
      <c r="E109" s="29"/>
      <c r="F109" s="29">
        <f t="shared" si="16"/>
        <v>400203.57</v>
      </c>
      <c r="G109" s="29">
        <v>400203.57</v>
      </c>
      <c r="H109" s="29"/>
      <c r="I109" s="29">
        <f t="shared" si="11"/>
        <v>0</v>
      </c>
      <c r="J109" s="29"/>
      <c r="K109" s="29"/>
      <c r="L109" s="29">
        <v>0</v>
      </c>
      <c r="M109" s="84">
        <f t="shared" si="17"/>
        <v>65.61994389069343</v>
      </c>
      <c r="N109" s="29">
        <f t="shared" si="18"/>
        <v>153.92445</v>
      </c>
      <c r="O109" s="29"/>
      <c r="P109" s="74">
        <f t="shared" si="12"/>
        <v>0</v>
      </c>
      <c r="Q109" s="74"/>
    </row>
    <row r="110" spans="1:17" s="75" customFormat="1" ht="19.5" customHeight="1">
      <c r="A110" s="104">
        <v>101</v>
      </c>
      <c r="B110" s="105" t="s">
        <v>145</v>
      </c>
      <c r="C110" s="94">
        <f t="shared" si="10"/>
        <v>260000</v>
      </c>
      <c r="D110" s="29">
        <v>260000</v>
      </c>
      <c r="E110" s="29"/>
      <c r="F110" s="29">
        <f t="shared" si="16"/>
        <v>259397</v>
      </c>
      <c r="G110" s="29">
        <v>259397</v>
      </c>
      <c r="H110" s="29"/>
      <c r="I110" s="29">
        <f t="shared" si="11"/>
        <v>0</v>
      </c>
      <c r="J110" s="29"/>
      <c r="K110" s="29"/>
      <c r="L110" s="29">
        <v>0</v>
      </c>
      <c r="M110" s="84">
        <f t="shared" si="17"/>
        <v>99.76807692307692</v>
      </c>
      <c r="N110" s="29">
        <f t="shared" si="18"/>
        <v>247.0447619047619</v>
      </c>
      <c r="O110" s="29"/>
      <c r="P110" s="74"/>
      <c r="Q110" s="74"/>
    </row>
    <row r="111" spans="1:17" s="75" customFormat="1" ht="19.5" customHeight="1">
      <c r="A111" s="104">
        <v>102</v>
      </c>
      <c r="B111" s="105" t="s">
        <v>136</v>
      </c>
      <c r="C111" s="94">
        <f t="shared" si="10"/>
        <v>105000</v>
      </c>
      <c r="D111" s="29">
        <v>105000</v>
      </c>
      <c r="E111" s="29"/>
      <c r="F111" s="29">
        <f t="shared" si="16"/>
        <v>105000</v>
      </c>
      <c r="G111" s="29">
        <v>105000</v>
      </c>
      <c r="H111" s="29"/>
      <c r="I111" s="29">
        <f t="shared" si="11"/>
        <v>0</v>
      </c>
      <c r="J111" s="29"/>
      <c r="K111" s="29"/>
      <c r="L111" s="29">
        <v>0</v>
      </c>
      <c r="M111" s="84">
        <f t="shared" si="17"/>
        <v>100</v>
      </c>
      <c r="N111" s="29">
        <f t="shared" si="18"/>
        <v>21.084337349397593</v>
      </c>
      <c r="O111" s="29"/>
      <c r="P111" s="74"/>
      <c r="Q111" s="74"/>
    </row>
    <row r="112" spans="1:17" s="75" customFormat="1" ht="19.5" customHeight="1">
      <c r="A112" s="104">
        <v>103</v>
      </c>
      <c r="B112" s="105" t="s">
        <v>138</v>
      </c>
      <c r="C112" s="94">
        <f>SUM(D112:E112)</f>
        <v>498000</v>
      </c>
      <c r="D112" s="29">
        <v>498000</v>
      </c>
      <c r="E112" s="29"/>
      <c r="F112" s="29">
        <f t="shared" si="16"/>
        <v>487905</v>
      </c>
      <c r="G112" s="29">
        <v>487905</v>
      </c>
      <c r="H112" s="29"/>
      <c r="I112" s="29">
        <f>SUM(J112:K112)</f>
        <v>0</v>
      </c>
      <c r="J112" s="29"/>
      <c r="K112" s="29"/>
      <c r="L112" s="29">
        <v>0</v>
      </c>
      <c r="M112" s="84">
        <f t="shared" si="17"/>
        <v>97.97289156626506</v>
      </c>
      <c r="N112" s="29">
        <f t="shared" si="18"/>
        <v>221.775</v>
      </c>
      <c r="O112" s="29"/>
      <c r="P112" s="74">
        <f>L112/1000</f>
        <v>0</v>
      </c>
      <c r="Q112" s="74"/>
    </row>
    <row r="113" spans="1:17" s="75" customFormat="1" ht="19.5" customHeight="1">
      <c r="A113" s="104">
        <v>104</v>
      </c>
      <c r="B113" s="105" t="s">
        <v>139</v>
      </c>
      <c r="C113" s="94">
        <f t="shared" si="10"/>
        <v>220000</v>
      </c>
      <c r="D113" s="29">
        <v>220000</v>
      </c>
      <c r="E113" s="29"/>
      <c r="F113" s="29">
        <f t="shared" si="16"/>
        <v>220000</v>
      </c>
      <c r="G113" s="29">
        <v>220000</v>
      </c>
      <c r="H113" s="29"/>
      <c r="I113" s="29">
        <f t="shared" si="11"/>
        <v>0</v>
      </c>
      <c r="J113" s="29"/>
      <c r="K113" s="29"/>
      <c r="L113" s="29">
        <v>0</v>
      </c>
      <c r="M113" s="84">
        <f t="shared" si="17"/>
        <v>100</v>
      </c>
      <c r="N113" s="29">
        <f t="shared" si="18"/>
        <v>9.805586420867357</v>
      </c>
      <c r="O113" s="29"/>
      <c r="P113" s="74">
        <f t="shared" si="12"/>
        <v>0</v>
      </c>
      <c r="Q113" s="74"/>
    </row>
    <row r="114" spans="1:17" s="75" customFormat="1" ht="19.5" customHeight="1">
      <c r="A114" s="104">
        <v>105</v>
      </c>
      <c r="B114" s="105" t="s">
        <v>172</v>
      </c>
      <c r="C114" s="94">
        <f t="shared" si="10"/>
        <v>2243619</v>
      </c>
      <c r="D114" s="29">
        <v>2243619</v>
      </c>
      <c r="E114" s="29"/>
      <c r="F114" s="29">
        <f t="shared" si="16"/>
        <v>2110580</v>
      </c>
      <c r="G114" s="29">
        <f>2110580-I114</f>
        <v>1510580</v>
      </c>
      <c r="H114" s="29"/>
      <c r="I114" s="29">
        <f t="shared" si="11"/>
        <v>600000</v>
      </c>
      <c r="J114" s="29">
        <v>600000</v>
      </c>
      <c r="K114" s="29"/>
      <c r="L114" s="29">
        <v>0</v>
      </c>
      <c r="M114" s="84">
        <f t="shared" si="17"/>
        <v>94.07033903706467</v>
      </c>
      <c r="N114" s="29">
        <f t="shared" si="18"/>
        <v>232.3969230769231</v>
      </c>
      <c r="O114" s="29"/>
      <c r="P114" s="74">
        <f t="shared" si="12"/>
        <v>0</v>
      </c>
      <c r="Q114" s="74"/>
    </row>
    <row r="115" spans="1:17" s="75" customFormat="1" ht="19.5" customHeight="1">
      <c r="A115" s="104">
        <v>106</v>
      </c>
      <c r="B115" s="105" t="s">
        <v>140</v>
      </c>
      <c r="C115" s="94">
        <f t="shared" si="10"/>
        <v>650000</v>
      </c>
      <c r="D115" s="29">
        <v>650000</v>
      </c>
      <c r="E115" s="29"/>
      <c r="F115" s="29">
        <f t="shared" si="16"/>
        <v>649999</v>
      </c>
      <c r="G115" s="29">
        <v>649999</v>
      </c>
      <c r="H115" s="29"/>
      <c r="I115" s="29">
        <f t="shared" si="11"/>
        <v>0</v>
      </c>
      <c r="J115" s="29"/>
      <c r="K115" s="29"/>
      <c r="L115" s="29">
        <v>0</v>
      </c>
      <c r="M115" s="84">
        <f t="shared" si="17"/>
        <v>99.99984615384615</v>
      </c>
      <c r="N115" s="29">
        <f t="shared" si="18"/>
        <v>507.81171875</v>
      </c>
      <c r="O115" s="29"/>
      <c r="P115" s="74">
        <f t="shared" si="12"/>
        <v>0</v>
      </c>
      <c r="Q115" s="74"/>
    </row>
    <row r="116" spans="1:17" s="75" customFormat="1" ht="19.5" customHeight="1">
      <c r="A116" s="104">
        <v>107</v>
      </c>
      <c r="B116" s="105" t="s">
        <v>141</v>
      </c>
      <c r="C116" s="94">
        <f t="shared" si="10"/>
        <v>128000</v>
      </c>
      <c r="D116" s="29">
        <v>128000</v>
      </c>
      <c r="E116" s="29"/>
      <c r="F116" s="29">
        <f t="shared" si="16"/>
        <v>128000</v>
      </c>
      <c r="G116" s="29">
        <v>128000</v>
      </c>
      <c r="H116" s="29"/>
      <c r="I116" s="29">
        <f t="shared" si="11"/>
        <v>0</v>
      </c>
      <c r="J116" s="29"/>
      <c r="K116" s="29"/>
      <c r="L116" s="29">
        <v>0</v>
      </c>
      <c r="M116" s="84">
        <f t="shared" si="17"/>
        <v>100</v>
      </c>
      <c r="N116" s="29">
        <f t="shared" si="18"/>
        <v>29.767441860465116</v>
      </c>
      <c r="O116" s="29"/>
      <c r="P116" s="74">
        <f t="shared" si="12"/>
        <v>0</v>
      </c>
      <c r="Q116" s="74"/>
    </row>
    <row r="117" spans="1:17" s="75" customFormat="1" ht="19.5" customHeight="1">
      <c r="A117" s="104">
        <v>108</v>
      </c>
      <c r="B117" s="105" t="s">
        <v>167</v>
      </c>
      <c r="C117" s="94">
        <f aca="true" t="shared" si="19" ref="C117:C138">SUM(D117:E117)</f>
        <v>430000</v>
      </c>
      <c r="D117" s="29">
        <v>430000</v>
      </c>
      <c r="E117" s="29"/>
      <c r="F117" s="29">
        <f t="shared" si="16"/>
        <v>374102</v>
      </c>
      <c r="G117" s="29">
        <v>174102</v>
      </c>
      <c r="H117" s="29"/>
      <c r="I117" s="29">
        <f aca="true" t="shared" si="20" ref="I117:I129">SUM(J117:K117)</f>
        <v>0</v>
      </c>
      <c r="J117" s="29"/>
      <c r="K117" s="29"/>
      <c r="L117" s="29">
        <v>200000</v>
      </c>
      <c r="M117" s="84">
        <f t="shared" si="17"/>
        <v>87.00046511627907</v>
      </c>
      <c r="N117" s="29">
        <f t="shared" si="18"/>
        <v>17.074648997893398</v>
      </c>
      <c r="O117" s="29"/>
      <c r="P117" s="74">
        <f>J117/1000</f>
        <v>0</v>
      </c>
      <c r="Q117" s="74"/>
    </row>
    <row r="118" spans="1:17" s="75" customFormat="1" ht="19.5" customHeight="1">
      <c r="A118" s="104">
        <v>109</v>
      </c>
      <c r="B118" s="105" t="s">
        <v>169</v>
      </c>
      <c r="C118" s="94">
        <f t="shared" si="19"/>
        <v>1019652</v>
      </c>
      <c r="D118" s="29">
        <v>1019652</v>
      </c>
      <c r="E118" s="29"/>
      <c r="F118" s="29">
        <f t="shared" si="16"/>
        <v>949996.85</v>
      </c>
      <c r="G118" s="29">
        <v>949996.85</v>
      </c>
      <c r="H118" s="29"/>
      <c r="I118" s="29">
        <f t="shared" si="20"/>
        <v>0</v>
      </c>
      <c r="J118" s="29"/>
      <c r="K118" s="29"/>
      <c r="L118" s="29">
        <v>0</v>
      </c>
      <c r="M118" s="84">
        <f t="shared" si="17"/>
        <v>93.16873305794525</v>
      </c>
      <c r="N118" s="29">
        <f t="shared" si="18"/>
        <v>43.36778192233124</v>
      </c>
      <c r="O118" s="29"/>
      <c r="P118" s="74">
        <f>J118/1000</f>
        <v>0</v>
      </c>
      <c r="Q118" s="74"/>
    </row>
    <row r="119" spans="1:17" s="75" customFormat="1" ht="19.5" customHeight="1">
      <c r="A119" s="104">
        <v>110</v>
      </c>
      <c r="B119" s="105" t="s">
        <v>170</v>
      </c>
      <c r="C119" s="94">
        <f t="shared" si="19"/>
        <v>2190559</v>
      </c>
      <c r="D119" s="29">
        <v>2190559</v>
      </c>
      <c r="E119" s="29"/>
      <c r="F119" s="29">
        <f t="shared" si="16"/>
        <v>375948</v>
      </c>
      <c r="G119" s="29">
        <v>375948</v>
      </c>
      <c r="H119" s="29"/>
      <c r="I119" s="29">
        <f t="shared" si="20"/>
        <v>0</v>
      </c>
      <c r="J119" s="29"/>
      <c r="K119" s="29"/>
      <c r="L119" s="29">
        <v>0</v>
      </c>
      <c r="M119" s="84">
        <f t="shared" si="17"/>
        <v>17.162194672684006</v>
      </c>
      <c r="N119" s="29">
        <f t="shared" si="18"/>
        <v>27.62335054398341</v>
      </c>
      <c r="O119" s="29"/>
      <c r="P119" s="74">
        <f>J119/1000</f>
        <v>0</v>
      </c>
      <c r="Q119" s="74"/>
    </row>
    <row r="120" spans="1:17" s="75" customFormat="1" ht="19.5" customHeight="1">
      <c r="A120" s="104">
        <v>111</v>
      </c>
      <c r="B120" s="105" t="s">
        <v>171</v>
      </c>
      <c r="C120" s="94">
        <f t="shared" si="19"/>
        <v>1360979</v>
      </c>
      <c r="D120" s="29">
        <v>1360979</v>
      </c>
      <c r="E120" s="29"/>
      <c r="F120" s="29">
        <f>SUM(G120:I120)+L120</f>
        <v>1303151</v>
      </c>
      <c r="G120" s="29">
        <f>1303151</f>
        <v>1303151</v>
      </c>
      <c r="H120" s="29"/>
      <c r="I120" s="29">
        <f t="shared" si="20"/>
        <v>0</v>
      </c>
      <c r="J120" s="29"/>
      <c r="K120" s="29"/>
      <c r="L120" s="29">
        <v>0</v>
      </c>
      <c r="M120" s="84">
        <f t="shared" si="17"/>
        <v>95.75099983173877</v>
      </c>
      <c r="N120" s="29">
        <f t="shared" si="18"/>
        <v>6515.755</v>
      </c>
      <c r="O120" s="29"/>
      <c r="P120" s="74">
        <f>K120/1000</f>
        <v>0</v>
      </c>
      <c r="Q120" s="74"/>
    </row>
    <row r="121" spans="1:17" s="75" customFormat="1" ht="19.5" customHeight="1">
      <c r="A121" s="104">
        <v>112</v>
      </c>
      <c r="B121" s="105" t="s">
        <v>315</v>
      </c>
      <c r="C121" s="94">
        <f t="shared" si="19"/>
        <v>20000</v>
      </c>
      <c r="D121" s="29">
        <v>20000</v>
      </c>
      <c r="E121" s="29">
        <v>0</v>
      </c>
      <c r="F121" s="29">
        <f t="shared" si="16"/>
        <v>10000</v>
      </c>
      <c r="G121" s="29">
        <v>10000</v>
      </c>
      <c r="H121" s="29"/>
      <c r="I121" s="29">
        <f t="shared" si="20"/>
        <v>0</v>
      </c>
      <c r="J121" s="29"/>
      <c r="K121" s="29"/>
      <c r="L121" s="29">
        <v>0</v>
      </c>
      <c r="M121" s="84">
        <f t="shared" si="17"/>
        <v>50</v>
      </c>
      <c r="N121" s="29"/>
      <c r="O121" s="29"/>
      <c r="P121" s="74">
        <f aca="true" t="shared" si="21" ref="P121:P127">K121/1000</f>
        <v>0</v>
      </c>
      <c r="Q121" s="74"/>
    </row>
    <row r="122" spans="1:17" s="75" customFormat="1" ht="31.5">
      <c r="A122" s="104">
        <v>113</v>
      </c>
      <c r="B122" s="105" t="s">
        <v>316</v>
      </c>
      <c r="C122" s="94">
        <f t="shared" si="19"/>
        <v>1350000</v>
      </c>
      <c r="D122" s="29"/>
      <c r="E122" s="29">
        <v>1350000</v>
      </c>
      <c r="F122" s="29">
        <f t="shared" si="16"/>
        <v>844636</v>
      </c>
      <c r="G122" s="29"/>
      <c r="H122" s="29">
        <v>844636</v>
      </c>
      <c r="I122" s="29">
        <f t="shared" si="20"/>
        <v>0</v>
      </c>
      <c r="J122" s="29"/>
      <c r="K122" s="29"/>
      <c r="L122" s="29">
        <v>0</v>
      </c>
      <c r="M122" s="84">
        <f t="shared" si="17"/>
        <v>62.565629629629626</v>
      </c>
      <c r="N122" s="29"/>
      <c r="O122" s="29">
        <f aca="true" t="shared" si="22" ref="N122:O129">H122/E122*100</f>
        <v>62.565629629629626</v>
      </c>
      <c r="P122" s="74">
        <f t="shared" si="21"/>
        <v>0</v>
      </c>
      <c r="Q122" s="74"/>
    </row>
    <row r="123" spans="1:17" s="75" customFormat="1" ht="31.5">
      <c r="A123" s="104">
        <v>114</v>
      </c>
      <c r="B123" s="105" t="s">
        <v>317</v>
      </c>
      <c r="C123" s="94">
        <f t="shared" si="19"/>
        <v>6941000</v>
      </c>
      <c r="D123" s="29"/>
      <c r="E123" s="29">
        <v>6941000</v>
      </c>
      <c r="F123" s="29">
        <f t="shared" si="16"/>
        <v>6490277</v>
      </c>
      <c r="G123" s="29"/>
      <c r="H123" s="29">
        <v>6490277</v>
      </c>
      <c r="I123" s="29">
        <f t="shared" si="20"/>
        <v>0</v>
      </c>
      <c r="J123" s="29"/>
      <c r="K123" s="29"/>
      <c r="L123" s="29">
        <v>0</v>
      </c>
      <c r="M123" s="84">
        <f t="shared" si="17"/>
        <v>93.50636795850743</v>
      </c>
      <c r="N123" s="29"/>
      <c r="O123" s="29">
        <f t="shared" si="22"/>
        <v>93.50636795850743</v>
      </c>
      <c r="P123" s="74">
        <f t="shared" si="21"/>
        <v>0</v>
      </c>
      <c r="Q123" s="74"/>
    </row>
    <row r="124" spans="1:17" s="75" customFormat="1" ht="21" customHeight="1">
      <c r="A124" s="104">
        <v>115</v>
      </c>
      <c r="B124" s="105" t="s">
        <v>251</v>
      </c>
      <c r="C124" s="94">
        <f t="shared" si="19"/>
        <v>210000</v>
      </c>
      <c r="D124" s="29"/>
      <c r="E124" s="29">
        <v>210000</v>
      </c>
      <c r="F124" s="29">
        <f t="shared" si="16"/>
        <v>210000</v>
      </c>
      <c r="G124" s="29"/>
      <c r="H124" s="29">
        <v>210000</v>
      </c>
      <c r="I124" s="29">
        <f t="shared" si="20"/>
        <v>0</v>
      </c>
      <c r="J124" s="29"/>
      <c r="K124" s="29"/>
      <c r="L124" s="29">
        <v>0</v>
      </c>
      <c r="M124" s="84">
        <f t="shared" si="17"/>
        <v>100</v>
      </c>
      <c r="N124" s="29"/>
      <c r="O124" s="29">
        <f t="shared" si="22"/>
        <v>100</v>
      </c>
      <c r="P124" s="74">
        <f t="shared" si="21"/>
        <v>0</v>
      </c>
      <c r="Q124" s="74"/>
    </row>
    <row r="125" spans="1:17" s="75" customFormat="1" ht="21" customHeight="1">
      <c r="A125" s="104">
        <v>116</v>
      </c>
      <c r="B125" s="111" t="s">
        <v>237</v>
      </c>
      <c r="C125" s="94">
        <f t="shared" si="19"/>
        <v>1973000</v>
      </c>
      <c r="D125" s="29"/>
      <c r="E125" s="29">
        <v>1973000</v>
      </c>
      <c r="F125" s="29">
        <f t="shared" si="16"/>
        <v>1973000</v>
      </c>
      <c r="G125" s="29"/>
      <c r="H125" s="29">
        <v>1973000</v>
      </c>
      <c r="I125" s="29">
        <f t="shared" si="20"/>
        <v>0</v>
      </c>
      <c r="J125" s="29"/>
      <c r="K125" s="29"/>
      <c r="L125" s="29">
        <v>0</v>
      </c>
      <c r="M125" s="84">
        <f t="shared" si="17"/>
        <v>100</v>
      </c>
      <c r="N125" s="29"/>
      <c r="O125" s="29">
        <f t="shared" si="22"/>
        <v>100</v>
      </c>
      <c r="P125" s="74">
        <f t="shared" si="21"/>
        <v>0</v>
      </c>
      <c r="Q125" s="74"/>
    </row>
    <row r="126" spans="1:17" s="75" customFormat="1" ht="21" customHeight="1">
      <c r="A126" s="104">
        <v>117</v>
      </c>
      <c r="B126" s="111" t="s">
        <v>318</v>
      </c>
      <c r="C126" s="94">
        <f t="shared" si="19"/>
        <v>16176831</v>
      </c>
      <c r="D126" s="29">
        <v>2700000</v>
      </c>
      <c r="E126" s="29">
        <v>13476831</v>
      </c>
      <c r="F126" s="29">
        <f>SUM(G126:I126)+L126</f>
        <v>13318692</v>
      </c>
      <c r="G126" s="29">
        <f>2310674+537785</f>
        <v>2848459</v>
      </c>
      <c r="H126" s="29">
        <v>10227000</v>
      </c>
      <c r="I126" s="29">
        <f t="shared" si="20"/>
        <v>0</v>
      </c>
      <c r="J126" s="29"/>
      <c r="K126" s="29"/>
      <c r="L126" s="29">
        <v>243233</v>
      </c>
      <c r="M126" s="84">
        <f t="shared" si="17"/>
        <v>82.33189800894873</v>
      </c>
      <c r="N126" s="29">
        <f t="shared" si="22"/>
        <v>105.49848148148149</v>
      </c>
      <c r="O126" s="29">
        <f t="shared" si="22"/>
        <v>75.88579243889012</v>
      </c>
      <c r="P126" s="74">
        <f t="shared" si="21"/>
        <v>0</v>
      </c>
      <c r="Q126" s="74"/>
    </row>
    <row r="127" spans="1:17" s="75" customFormat="1" ht="21" customHeight="1">
      <c r="A127" s="104">
        <v>118</v>
      </c>
      <c r="B127" s="111" t="s">
        <v>238</v>
      </c>
      <c r="C127" s="94">
        <f t="shared" si="19"/>
        <v>190000</v>
      </c>
      <c r="D127" s="29"/>
      <c r="E127" s="29">
        <v>190000</v>
      </c>
      <c r="F127" s="29">
        <f t="shared" si="16"/>
        <v>190000</v>
      </c>
      <c r="G127" s="29"/>
      <c r="H127" s="29">
        <v>190000</v>
      </c>
      <c r="I127" s="29">
        <f t="shared" si="20"/>
        <v>0</v>
      </c>
      <c r="J127" s="29"/>
      <c r="K127" s="29"/>
      <c r="L127" s="29">
        <v>0</v>
      </c>
      <c r="M127" s="84">
        <f t="shared" si="17"/>
        <v>100</v>
      </c>
      <c r="N127" s="29"/>
      <c r="O127" s="29">
        <f t="shared" si="22"/>
        <v>100</v>
      </c>
      <c r="P127" s="74">
        <f t="shared" si="21"/>
        <v>0</v>
      </c>
      <c r="Q127" s="74"/>
    </row>
    <row r="128" spans="1:17" s="75" customFormat="1" ht="21" customHeight="1">
      <c r="A128" s="104">
        <v>119</v>
      </c>
      <c r="B128" s="111" t="s">
        <v>239</v>
      </c>
      <c r="C128" s="94">
        <f t="shared" si="19"/>
        <v>65000</v>
      </c>
      <c r="D128" s="29"/>
      <c r="E128" s="29">
        <v>65000</v>
      </c>
      <c r="F128" s="29">
        <f t="shared" si="16"/>
        <v>65000</v>
      </c>
      <c r="G128" s="29"/>
      <c r="H128" s="29">
        <v>65000</v>
      </c>
      <c r="I128" s="29">
        <f t="shared" si="20"/>
        <v>0</v>
      </c>
      <c r="J128" s="29"/>
      <c r="K128" s="29"/>
      <c r="L128" s="29">
        <v>0</v>
      </c>
      <c r="M128" s="84">
        <f t="shared" si="17"/>
        <v>100</v>
      </c>
      <c r="N128" s="29"/>
      <c r="O128" s="29">
        <f t="shared" si="22"/>
        <v>100</v>
      </c>
      <c r="P128" s="74"/>
      <c r="Q128" s="74"/>
    </row>
    <row r="129" spans="1:17" s="75" customFormat="1" ht="21" customHeight="1">
      <c r="A129" s="104">
        <v>120</v>
      </c>
      <c r="B129" s="111" t="s">
        <v>240</v>
      </c>
      <c r="C129" s="94">
        <f t="shared" si="19"/>
        <v>140000</v>
      </c>
      <c r="D129" s="29"/>
      <c r="E129" s="29">
        <v>140000</v>
      </c>
      <c r="F129" s="29">
        <f t="shared" si="16"/>
        <v>140000</v>
      </c>
      <c r="G129" s="29"/>
      <c r="H129" s="29">
        <v>140000</v>
      </c>
      <c r="I129" s="29">
        <f t="shared" si="20"/>
        <v>0</v>
      </c>
      <c r="J129" s="29"/>
      <c r="K129" s="29"/>
      <c r="L129" s="29">
        <v>0</v>
      </c>
      <c r="M129" s="84">
        <f t="shared" si="17"/>
        <v>100</v>
      </c>
      <c r="N129" s="29"/>
      <c r="O129" s="29">
        <f t="shared" si="22"/>
        <v>100</v>
      </c>
      <c r="P129" s="74"/>
      <c r="Q129" s="74"/>
    </row>
    <row r="130" spans="1:17" s="75" customFormat="1" ht="21" customHeight="1">
      <c r="A130" s="104">
        <v>121</v>
      </c>
      <c r="B130" s="111" t="s">
        <v>241</v>
      </c>
      <c r="C130" s="94">
        <f t="shared" si="19"/>
        <v>70000</v>
      </c>
      <c r="D130" s="29"/>
      <c r="E130" s="29">
        <v>70000</v>
      </c>
      <c r="F130" s="29">
        <f t="shared" si="16"/>
        <v>70000</v>
      </c>
      <c r="G130" s="29"/>
      <c r="H130" s="29">
        <v>70000</v>
      </c>
      <c r="I130" s="29">
        <f>SUM(J130:K130)</f>
        <v>0</v>
      </c>
      <c r="J130" s="29"/>
      <c r="K130" s="29"/>
      <c r="L130" s="29">
        <v>0</v>
      </c>
      <c r="M130" s="84">
        <f t="shared" si="17"/>
        <v>100</v>
      </c>
      <c r="N130" s="29"/>
      <c r="O130" s="29">
        <f aca="true" t="shared" si="23" ref="O130:O139">H130/E130*100</f>
        <v>100</v>
      </c>
      <c r="P130" s="74"/>
      <c r="Q130" s="74"/>
    </row>
    <row r="131" spans="1:17" s="75" customFormat="1" ht="21" customHeight="1">
      <c r="A131" s="104">
        <v>122</v>
      </c>
      <c r="B131" s="111" t="s">
        <v>242</v>
      </c>
      <c r="C131" s="94">
        <f>SUM(D131:E131)</f>
        <v>60000</v>
      </c>
      <c r="D131" s="29"/>
      <c r="E131" s="29">
        <v>60000</v>
      </c>
      <c r="F131" s="29">
        <f t="shared" si="16"/>
        <v>60000</v>
      </c>
      <c r="G131" s="29"/>
      <c r="H131" s="29">
        <v>60000</v>
      </c>
      <c r="I131" s="29">
        <f>SUM(J131:K131)</f>
        <v>0</v>
      </c>
      <c r="J131" s="29">
        <v>0</v>
      </c>
      <c r="K131" s="29"/>
      <c r="L131" s="29">
        <v>0</v>
      </c>
      <c r="M131" s="84">
        <f t="shared" si="17"/>
        <v>100</v>
      </c>
      <c r="N131" s="29"/>
      <c r="O131" s="29">
        <f t="shared" si="23"/>
        <v>100</v>
      </c>
      <c r="P131" s="74">
        <f>K131/1000</f>
        <v>0</v>
      </c>
      <c r="Q131" s="74"/>
    </row>
    <row r="132" spans="1:17" s="75" customFormat="1" ht="21" customHeight="1">
      <c r="A132" s="104">
        <v>123</v>
      </c>
      <c r="B132" s="111" t="s">
        <v>243</v>
      </c>
      <c r="C132" s="94">
        <f t="shared" si="19"/>
        <v>40000</v>
      </c>
      <c r="D132" s="29"/>
      <c r="E132" s="29">
        <v>40000</v>
      </c>
      <c r="F132" s="29">
        <f t="shared" si="16"/>
        <v>40000</v>
      </c>
      <c r="G132" s="29"/>
      <c r="H132" s="29">
        <v>40000</v>
      </c>
      <c r="I132" s="29"/>
      <c r="J132" s="29"/>
      <c r="K132" s="29"/>
      <c r="L132" s="29">
        <v>0</v>
      </c>
      <c r="M132" s="84">
        <f t="shared" si="17"/>
        <v>100</v>
      </c>
      <c r="N132" s="29"/>
      <c r="O132" s="29">
        <f t="shared" si="23"/>
        <v>100</v>
      </c>
      <c r="P132" s="74"/>
      <c r="Q132" s="74"/>
    </row>
    <row r="133" spans="1:17" s="75" customFormat="1" ht="21" customHeight="1">
      <c r="A133" s="104">
        <v>124</v>
      </c>
      <c r="B133" s="105" t="s">
        <v>225</v>
      </c>
      <c r="C133" s="94">
        <f t="shared" si="19"/>
        <v>1150000</v>
      </c>
      <c r="D133" s="29"/>
      <c r="E133" s="29">
        <v>1150000</v>
      </c>
      <c r="F133" s="29">
        <f t="shared" si="16"/>
        <v>1150000</v>
      </c>
      <c r="G133" s="29"/>
      <c r="H133" s="29">
        <v>1150000</v>
      </c>
      <c r="I133" s="29"/>
      <c r="J133" s="29"/>
      <c r="K133" s="29"/>
      <c r="L133" s="29">
        <v>0</v>
      </c>
      <c r="M133" s="84">
        <f t="shared" si="17"/>
        <v>100</v>
      </c>
      <c r="N133" s="29"/>
      <c r="O133" s="29">
        <f t="shared" si="23"/>
        <v>100</v>
      </c>
      <c r="P133" s="74"/>
      <c r="Q133" s="74"/>
    </row>
    <row r="134" spans="1:17" s="75" customFormat="1" ht="21" customHeight="1">
      <c r="A134" s="104">
        <v>125</v>
      </c>
      <c r="B134" s="105" t="s">
        <v>244</v>
      </c>
      <c r="C134" s="94">
        <f t="shared" si="19"/>
        <v>200000</v>
      </c>
      <c r="D134" s="29"/>
      <c r="E134" s="29">
        <v>200000</v>
      </c>
      <c r="F134" s="29">
        <f t="shared" si="16"/>
        <v>200000</v>
      </c>
      <c r="G134" s="29"/>
      <c r="H134" s="29">
        <v>200000</v>
      </c>
      <c r="I134" s="29"/>
      <c r="J134" s="29"/>
      <c r="K134" s="29"/>
      <c r="L134" s="29">
        <v>0</v>
      </c>
      <c r="M134" s="84">
        <f t="shared" si="17"/>
        <v>100</v>
      </c>
      <c r="N134" s="29"/>
      <c r="O134" s="29">
        <f t="shared" si="23"/>
        <v>100</v>
      </c>
      <c r="P134" s="74"/>
      <c r="Q134" s="74"/>
    </row>
    <row r="135" spans="1:17" s="75" customFormat="1" ht="21" customHeight="1">
      <c r="A135" s="104">
        <v>126</v>
      </c>
      <c r="B135" s="105" t="s">
        <v>245</v>
      </c>
      <c r="C135" s="94">
        <f t="shared" si="19"/>
        <v>49393460</v>
      </c>
      <c r="D135" s="29"/>
      <c r="E135" s="29">
        <v>49393460</v>
      </c>
      <c r="F135" s="29">
        <f t="shared" si="16"/>
        <v>49393465</v>
      </c>
      <c r="G135" s="29"/>
      <c r="H135" s="29">
        <v>49393465</v>
      </c>
      <c r="I135" s="29"/>
      <c r="J135" s="29"/>
      <c r="K135" s="29"/>
      <c r="L135" s="29">
        <v>0</v>
      </c>
      <c r="M135" s="84">
        <f t="shared" si="17"/>
        <v>100.00001012279765</v>
      </c>
      <c r="N135" s="29"/>
      <c r="O135" s="29">
        <f t="shared" si="23"/>
        <v>100.00001012279765</v>
      </c>
      <c r="P135" s="74"/>
      <c r="Q135" s="74"/>
    </row>
    <row r="136" spans="1:17" s="75" customFormat="1" ht="21" customHeight="1">
      <c r="A136" s="104">
        <v>127</v>
      </c>
      <c r="B136" s="105" t="s">
        <v>246</v>
      </c>
      <c r="C136" s="94">
        <f t="shared" si="19"/>
        <v>30000</v>
      </c>
      <c r="D136" s="29"/>
      <c r="E136" s="29">
        <v>30000</v>
      </c>
      <c r="F136" s="29">
        <f t="shared" si="16"/>
        <v>30000</v>
      </c>
      <c r="G136" s="29"/>
      <c r="H136" s="29">
        <v>30000</v>
      </c>
      <c r="I136" s="29"/>
      <c r="J136" s="29"/>
      <c r="K136" s="29"/>
      <c r="L136" s="29">
        <v>0</v>
      </c>
      <c r="M136" s="84">
        <f t="shared" si="17"/>
        <v>100</v>
      </c>
      <c r="N136" s="29"/>
      <c r="O136" s="29">
        <f t="shared" si="23"/>
        <v>100</v>
      </c>
      <c r="P136" s="74"/>
      <c r="Q136" s="74"/>
    </row>
    <row r="137" spans="1:17" s="75" customFormat="1" ht="21" customHeight="1">
      <c r="A137" s="104">
        <v>128</v>
      </c>
      <c r="B137" s="105" t="s">
        <v>247</v>
      </c>
      <c r="C137" s="94">
        <f t="shared" si="19"/>
        <v>25000</v>
      </c>
      <c r="D137" s="29"/>
      <c r="E137" s="29">
        <v>25000</v>
      </c>
      <c r="F137" s="29">
        <f>SUM(G137:I137)+L137</f>
        <v>25000</v>
      </c>
      <c r="G137" s="29"/>
      <c r="H137" s="29">
        <v>25000</v>
      </c>
      <c r="I137" s="29"/>
      <c r="J137" s="29"/>
      <c r="K137" s="29"/>
      <c r="L137" s="29">
        <v>0</v>
      </c>
      <c r="M137" s="84">
        <f t="shared" si="17"/>
        <v>100</v>
      </c>
      <c r="N137" s="29"/>
      <c r="O137" s="29">
        <f t="shared" si="23"/>
        <v>100</v>
      </c>
      <c r="P137" s="74"/>
      <c r="Q137" s="74"/>
    </row>
    <row r="138" spans="1:17" s="75" customFormat="1" ht="21" customHeight="1">
      <c r="A138" s="104">
        <v>129</v>
      </c>
      <c r="B138" s="105" t="s">
        <v>248</v>
      </c>
      <c r="C138" s="94">
        <f t="shared" si="19"/>
        <v>2553840</v>
      </c>
      <c r="D138" s="29"/>
      <c r="E138" s="29">
        <v>2553840</v>
      </c>
      <c r="F138" s="29">
        <f>SUM(G138:I138)+L138</f>
        <v>2553840</v>
      </c>
      <c r="G138" s="29"/>
      <c r="H138" s="29">
        <v>2553840</v>
      </c>
      <c r="I138" s="29"/>
      <c r="J138" s="29"/>
      <c r="K138" s="29"/>
      <c r="L138" s="29">
        <v>0</v>
      </c>
      <c r="M138" s="84">
        <f t="shared" si="17"/>
        <v>100</v>
      </c>
      <c r="N138" s="29"/>
      <c r="O138" s="29">
        <f t="shared" si="23"/>
        <v>100</v>
      </c>
      <c r="P138" s="74"/>
      <c r="Q138" s="74"/>
    </row>
    <row r="139" spans="1:17" s="75" customFormat="1" ht="21" customHeight="1">
      <c r="A139" s="104">
        <v>130</v>
      </c>
      <c r="B139" s="97" t="s">
        <v>319</v>
      </c>
      <c r="C139" s="94">
        <f>SUM(D139:E139)</f>
        <v>110000</v>
      </c>
      <c r="D139" s="29"/>
      <c r="E139" s="29">
        <v>110000</v>
      </c>
      <c r="F139" s="29">
        <f>SUM(G139:I139)+L139</f>
        <v>110000</v>
      </c>
      <c r="G139" s="29"/>
      <c r="H139" s="29">
        <v>110000</v>
      </c>
      <c r="I139" s="29">
        <f>SUM(J139:K139)</f>
        <v>0</v>
      </c>
      <c r="J139" s="29"/>
      <c r="K139" s="29"/>
      <c r="L139" s="29">
        <v>0</v>
      </c>
      <c r="M139" s="84">
        <f>F139/C139*100</f>
        <v>100</v>
      </c>
      <c r="N139" s="29"/>
      <c r="O139" s="29">
        <f t="shared" si="23"/>
        <v>100</v>
      </c>
      <c r="P139" s="74"/>
      <c r="Q139" s="74"/>
    </row>
    <row r="140" spans="1:17" s="75" customFormat="1" ht="30.75" customHeight="1">
      <c r="A140" s="73">
        <v>145</v>
      </c>
      <c r="B140" s="97" t="s">
        <v>250</v>
      </c>
      <c r="C140" s="94">
        <f>SUM(D140:E140)</f>
        <v>0</v>
      </c>
      <c r="D140" s="29"/>
      <c r="E140" s="29"/>
      <c r="F140" s="29">
        <f>SUM(G140:I140)+L140</f>
        <v>242713683.032</v>
      </c>
      <c r="G140" s="29"/>
      <c r="H140" s="29">
        <v>0</v>
      </c>
      <c r="I140" s="29">
        <f>SUM(J140:K140)</f>
        <v>0</v>
      </c>
      <c r="J140" s="29"/>
      <c r="K140" s="29"/>
      <c r="L140" s="29">
        <v>242713683.032</v>
      </c>
      <c r="M140" s="84"/>
      <c r="N140" s="29"/>
      <c r="O140" s="29"/>
      <c r="P140" s="74"/>
      <c r="Q140" s="74"/>
    </row>
    <row r="141" spans="1:17" s="75" customFormat="1" ht="30.75" customHeight="1">
      <c r="A141" s="73">
        <v>146</v>
      </c>
      <c r="B141" s="118" t="s">
        <v>249</v>
      </c>
      <c r="C141" s="94">
        <f>SUM(D141:E141)</f>
        <v>0</v>
      </c>
      <c r="D141" s="29"/>
      <c r="E141" s="29"/>
      <c r="F141" s="29">
        <f>SUM(G141:I141)+L141</f>
        <v>5225238</v>
      </c>
      <c r="G141" s="29"/>
      <c r="H141" s="29">
        <f>'98 chi r'!G28</f>
        <v>5225238</v>
      </c>
      <c r="I141" s="29">
        <f>SUM(J141:K141)</f>
        <v>0</v>
      </c>
      <c r="J141" s="29"/>
      <c r="K141" s="29"/>
      <c r="L141" s="29"/>
      <c r="M141" s="84"/>
      <c r="N141" s="29"/>
      <c r="O141" s="29"/>
      <c r="P141" s="74"/>
      <c r="Q141" s="74"/>
    </row>
  </sheetData>
  <sheetProtection/>
  <mergeCells count="20">
    <mergeCell ref="N6:N7"/>
    <mergeCell ref="O6:O7"/>
    <mergeCell ref="I6:K6"/>
    <mergeCell ref="N1:O1"/>
    <mergeCell ref="A2:O2"/>
    <mergeCell ref="A3:O3"/>
    <mergeCell ref="M5:O5"/>
    <mergeCell ref="C5:E5"/>
    <mergeCell ref="F5:L5"/>
    <mergeCell ref="L4:O4"/>
    <mergeCell ref="L6:L7"/>
    <mergeCell ref="M6:M7"/>
    <mergeCell ref="E6:E7"/>
    <mergeCell ref="A5:A7"/>
    <mergeCell ref="B5:B7"/>
    <mergeCell ref="C6:C7"/>
    <mergeCell ref="D6:D7"/>
    <mergeCell ref="F6:F7"/>
    <mergeCell ref="G6:G7"/>
    <mergeCell ref="H6:H7"/>
  </mergeCells>
  <printOptions horizontalCentered="1"/>
  <pageMargins left="0.2362204724409449" right="0" top="0.5118110236220472" bottom="0.4330708661417323" header="0.5118110236220472" footer="0.5118110236220472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27"/>
  <sheetViews>
    <sheetView zoomScalePageLayoutView="0" workbookViewId="0" topLeftCell="A1">
      <selection activeCell="A3" sqref="A3:T3"/>
    </sheetView>
  </sheetViews>
  <sheetFormatPr defaultColWidth="9" defaultRowHeight="15"/>
  <cols>
    <col min="1" max="1" width="4.3984375" style="16" customWidth="1"/>
    <col min="2" max="2" width="11.296875" style="16" customWidth="1"/>
    <col min="3" max="4" width="7.796875" style="17" customWidth="1"/>
    <col min="5" max="5" width="7.69921875" style="17" customWidth="1"/>
    <col min="6" max="6" width="8.19921875" style="17" customWidth="1"/>
    <col min="7" max="8" width="7.69921875" style="17" customWidth="1"/>
    <col min="9" max="9" width="7.296875" style="17" customWidth="1"/>
    <col min="10" max="10" width="7.3984375" style="17" customWidth="1"/>
    <col min="11" max="12" width="7.19921875" style="17" customWidth="1"/>
    <col min="13" max="13" width="7.09765625" style="17" customWidth="1"/>
    <col min="14" max="14" width="6.69921875" style="17" customWidth="1"/>
    <col min="15" max="15" width="5.19921875" style="17" customWidth="1"/>
    <col min="16" max="16" width="5" style="17" customWidth="1"/>
    <col min="17" max="17" width="5.09765625" style="17" customWidth="1"/>
    <col min="18" max="18" width="6.19921875" style="17" customWidth="1"/>
    <col min="19" max="19" width="5.796875" style="17" customWidth="1"/>
    <col min="20" max="20" width="6.8984375" style="17" customWidth="1"/>
    <col min="21" max="16384" width="9" style="16" customWidth="1"/>
  </cols>
  <sheetData>
    <row r="1" spans="1:20" ht="16.5">
      <c r="A1" s="2" t="s">
        <v>64</v>
      </c>
      <c r="O1" s="3" t="s">
        <v>114</v>
      </c>
      <c r="P1" s="3"/>
      <c r="Q1" s="3"/>
      <c r="R1" s="3"/>
      <c r="S1" s="152"/>
      <c r="T1" s="152"/>
    </row>
    <row r="2" spans="1:20" s="21" customFormat="1" ht="18.75" customHeight="1">
      <c r="A2" s="153" t="s">
        <v>266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s="31" customFormat="1" ht="24" customHeight="1">
      <c r="A3" s="154" t="s">
        <v>326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5:20" ht="23.25" customHeight="1">
      <c r="O4" s="3" t="s">
        <v>142</v>
      </c>
      <c r="P4" s="3"/>
      <c r="Q4" s="3"/>
      <c r="R4" s="3"/>
      <c r="T4" s="34"/>
    </row>
    <row r="5" spans="1:20" s="18" customFormat="1" ht="19.5" customHeight="1">
      <c r="A5" s="155" t="s">
        <v>94</v>
      </c>
      <c r="B5" s="155" t="s">
        <v>32</v>
      </c>
      <c r="C5" s="147" t="s">
        <v>96</v>
      </c>
      <c r="D5" s="148"/>
      <c r="E5" s="148"/>
      <c r="F5" s="148"/>
      <c r="G5" s="148"/>
      <c r="H5" s="149"/>
      <c r="I5" s="147" t="s">
        <v>97</v>
      </c>
      <c r="J5" s="148"/>
      <c r="K5" s="148"/>
      <c r="L5" s="148"/>
      <c r="M5" s="148"/>
      <c r="N5" s="148"/>
      <c r="O5" s="148" t="s">
        <v>100</v>
      </c>
      <c r="P5" s="148"/>
      <c r="Q5" s="148"/>
      <c r="R5" s="148"/>
      <c r="S5" s="148"/>
      <c r="T5" s="149"/>
    </row>
    <row r="6" spans="1:20" s="18" customFormat="1" ht="19.5" customHeight="1">
      <c r="A6" s="156"/>
      <c r="B6" s="156"/>
      <c r="C6" s="150" t="s">
        <v>33</v>
      </c>
      <c r="D6" s="150" t="s">
        <v>115</v>
      </c>
      <c r="E6" s="147" t="s">
        <v>116</v>
      </c>
      <c r="F6" s="148"/>
      <c r="G6" s="148"/>
      <c r="H6" s="149"/>
      <c r="I6" s="150" t="s">
        <v>33</v>
      </c>
      <c r="J6" s="150" t="s">
        <v>115</v>
      </c>
      <c r="K6" s="147" t="s">
        <v>116</v>
      </c>
      <c r="L6" s="148"/>
      <c r="M6" s="148"/>
      <c r="N6" s="149"/>
      <c r="O6" s="150" t="s">
        <v>33</v>
      </c>
      <c r="P6" s="150" t="s">
        <v>115</v>
      </c>
      <c r="Q6" s="147" t="s">
        <v>116</v>
      </c>
      <c r="R6" s="148"/>
      <c r="S6" s="148"/>
      <c r="T6" s="149"/>
    </row>
    <row r="7" spans="1:20" s="18" customFormat="1" ht="107.25" customHeight="1">
      <c r="A7" s="157"/>
      <c r="B7" s="157"/>
      <c r="C7" s="151"/>
      <c r="D7" s="151"/>
      <c r="E7" s="19" t="s">
        <v>33</v>
      </c>
      <c r="F7" s="19" t="s">
        <v>117</v>
      </c>
      <c r="G7" s="19" t="s">
        <v>118</v>
      </c>
      <c r="H7" s="19" t="s">
        <v>119</v>
      </c>
      <c r="I7" s="151"/>
      <c r="J7" s="151"/>
      <c r="K7" s="19" t="s">
        <v>33</v>
      </c>
      <c r="L7" s="19" t="s">
        <v>117</v>
      </c>
      <c r="M7" s="19" t="s">
        <v>118</v>
      </c>
      <c r="N7" s="19" t="s">
        <v>119</v>
      </c>
      <c r="O7" s="151"/>
      <c r="P7" s="151"/>
      <c r="Q7" s="19" t="s">
        <v>33</v>
      </c>
      <c r="R7" s="19" t="s">
        <v>117</v>
      </c>
      <c r="S7" s="19" t="s">
        <v>118</v>
      </c>
      <c r="T7" s="19" t="s">
        <v>119</v>
      </c>
    </row>
    <row r="8" spans="1:20" s="38" customFormat="1" ht="21" customHeight="1">
      <c r="A8" s="35" t="s">
        <v>1</v>
      </c>
      <c r="B8" s="54" t="s">
        <v>156</v>
      </c>
      <c r="C8" s="36">
        <f>SUM(D8:E8)</f>
        <v>533854.2849999999</v>
      </c>
      <c r="D8" s="36">
        <f>J8</f>
        <v>288954</v>
      </c>
      <c r="E8" s="36">
        <f>SUM(F8:H8)</f>
        <v>244900.28499999997</v>
      </c>
      <c r="F8" s="36">
        <f>'[2]BTMT'!$E$11-G8-H8</f>
        <v>157572.8</v>
      </c>
      <c r="G8" s="36">
        <f>'[2]BTMT'!$M$7</f>
        <v>85202.485</v>
      </c>
      <c r="H8" s="36">
        <v>2125</v>
      </c>
      <c r="I8" s="36">
        <f>SUM(J8:K8)</f>
        <v>533854.2849999999</v>
      </c>
      <c r="J8" s="36">
        <f>'[3]Bieu 49'!D13</f>
        <v>288954</v>
      </c>
      <c r="K8" s="36">
        <f>SUM(L8:N8)</f>
        <v>244900.28499999997</v>
      </c>
      <c r="L8" s="36">
        <f>F8</f>
        <v>157572.8</v>
      </c>
      <c r="M8" s="36">
        <f>G8</f>
        <v>85202.485</v>
      </c>
      <c r="N8" s="36">
        <f>H8</f>
        <v>2125</v>
      </c>
      <c r="O8" s="36">
        <f>I8/C8*100</f>
        <v>100</v>
      </c>
      <c r="P8" s="36">
        <f>J8/D8*100</f>
        <v>100</v>
      </c>
      <c r="Q8" s="36">
        <f>K8/E8*100</f>
        <v>100</v>
      </c>
      <c r="R8" s="36">
        <f>L8/F8*100</f>
        <v>100</v>
      </c>
      <c r="S8" s="36">
        <f>M8/G8*100</f>
        <v>100</v>
      </c>
      <c r="T8" s="36">
        <f aca="true" t="shared" si="0" ref="P8:T24">N8/H8*100</f>
        <v>100</v>
      </c>
    </row>
    <row r="9" spans="1:20" s="38" customFormat="1" ht="21" customHeight="1">
      <c r="A9" s="35" t="s">
        <v>2</v>
      </c>
      <c r="B9" s="54" t="s">
        <v>157</v>
      </c>
      <c r="C9" s="36">
        <f aca="true" t="shared" si="1" ref="C9:N9">SUM(C10:C26)</f>
        <v>95128.1588</v>
      </c>
      <c r="D9" s="36">
        <f t="shared" si="1"/>
        <v>53914.15</v>
      </c>
      <c r="E9" s="36">
        <f t="shared" si="1"/>
        <v>41214.0088</v>
      </c>
      <c r="F9" s="36">
        <f t="shared" si="1"/>
        <v>32595.766</v>
      </c>
      <c r="G9" s="36">
        <f t="shared" si="1"/>
        <v>7568.242800000001</v>
      </c>
      <c r="H9" s="36">
        <f t="shared" si="1"/>
        <v>1050</v>
      </c>
      <c r="I9" s="36">
        <f t="shared" si="1"/>
        <v>94884.35829999999</v>
      </c>
      <c r="J9" s="36">
        <f t="shared" si="1"/>
        <v>53914.15</v>
      </c>
      <c r="K9" s="36">
        <f t="shared" si="1"/>
        <v>40970.208300000006</v>
      </c>
      <c r="L9" s="36">
        <f t="shared" si="1"/>
        <v>32352.965999999997</v>
      </c>
      <c r="M9" s="36">
        <f t="shared" si="1"/>
        <v>7567.242300000001</v>
      </c>
      <c r="N9" s="36">
        <f t="shared" si="1"/>
        <v>1050</v>
      </c>
      <c r="O9" s="36">
        <f aca="true" t="shared" si="2" ref="O9:O27">I9/C9*100</f>
        <v>99.74371363529427</v>
      </c>
      <c r="P9" s="36">
        <f t="shared" si="0"/>
        <v>100</v>
      </c>
      <c r="Q9" s="36">
        <f t="shared" si="0"/>
        <v>99.40845235127917</v>
      </c>
      <c r="R9" s="36">
        <f t="shared" si="0"/>
        <v>99.25511798066043</v>
      </c>
      <c r="S9" s="36">
        <f t="shared" si="0"/>
        <v>99.98678028670011</v>
      </c>
      <c r="T9" s="36">
        <f t="shared" si="0"/>
        <v>100</v>
      </c>
    </row>
    <row r="10" spans="1:20" s="30" customFormat="1" ht="21" customHeight="1">
      <c r="A10" s="33">
        <v>1</v>
      </c>
      <c r="B10" s="77" t="s">
        <v>74</v>
      </c>
      <c r="C10" s="88">
        <f>SUM(D10:E10)</f>
        <v>5227.768</v>
      </c>
      <c r="D10" s="20">
        <v>3223.6</v>
      </c>
      <c r="E10" s="20">
        <f>SUM(F10:H10)</f>
        <v>2004.1680000000001</v>
      </c>
      <c r="F10" s="78">
        <f>'[4]Sheet1'!$M$3/1000</f>
        <v>1644.768</v>
      </c>
      <c r="G10" s="20">
        <f>'[4]Sheet1'!$K$3/1000</f>
        <v>359.4</v>
      </c>
      <c r="H10" s="20">
        <v>0</v>
      </c>
      <c r="I10" s="20">
        <f>SUM(J10:K10)</f>
        <v>5227.768</v>
      </c>
      <c r="J10" s="20">
        <v>3223.6</v>
      </c>
      <c r="K10" s="20">
        <f>SUM(L10:N10)</f>
        <v>2004.1680000000001</v>
      </c>
      <c r="L10" s="78">
        <f>'[4]Sheet1'!$M$3/1000</f>
        <v>1644.768</v>
      </c>
      <c r="M10" s="20">
        <f>'[4]Sheet1'!$K$3/1000</f>
        <v>359.4</v>
      </c>
      <c r="N10" s="20">
        <v>0</v>
      </c>
      <c r="O10" s="29">
        <f t="shared" si="2"/>
        <v>100</v>
      </c>
      <c r="P10" s="29">
        <f t="shared" si="0"/>
        <v>100</v>
      </c>
      <c r="Q10" s="29">
        <f t="shared" si="0"/>
        <v>100</v>
      </c>
      <c r="R10" s="29">
        <f t="shared" si="0"/>
        <v>100</v>
      </c>
      <c r="S10" s="29">
        <f t="shared" si="0"/>
        <v>100</v>
      </c>
      <c r="T10" s="29"/>
    </row>
    <row r="11" spans="1:20" s="30" customFormat="1" ht="21" customHeight="1">
      <c r="A11" s="33">
        <v>2</v>
      </c>
      <c r="B11" s="77" t="s">
        <v>75</v>
      </c>
      <c r="C11" s="88">
        <f aca="true" t="shared" si="3" ref="C11:C26">SUM(D11:E11)</f>
        <v>7253.64</v>
      </c>
      <c r="D11" s="20">
        <v>2639.76</v>
      </c>
      <c r="E11" s="20">
        <f aca="true" t="shared" si="4" ref="E11:E26">SUM(F11:H11)</f>
        <v>4613.88</v>
      </c>
      <c r="F11" s="78">
        <f>'[4]Sheet1'!$M$4/1000</f>
        <v>4219.426</v>
      </c>
      <c r="G11" s="20">
        <f>'[4]Sheet1'!$K$4/1000</f>
        <v>394.454</v>
      </c>
      <c r="H11" s="20">
        <v>0</v>
      </c>
      <c r="I11" s="20">
        <f aca="true" t="shared" si="5" ref="I11:I26">SUM(J11:K11)</f>
        <v>7248.34</v>
      </c>
      <c r="J11" s="20">
        <v>2639.76</v>
      </c>
      <c r="K11" s="20">
        <f aca="true" t="shared" si="6" ref="K11:K26">SUM(L11:N11)</f>
        <v>4608.58</v>
      </c>
      <c r="L11" s="78">
        <f>'[4]Sheet1'!$M$4/1000-5.3</f>
        <v>4214.126</v>
      </c>
      <c r="M11" s="20">
        <f>'[4]Sheet1'!$K$4/1000</f>
        <v>394.454</v>
      </c>
      <c r="N11" s="20">
        <v>0</v>
      </c>
      <c r="O11" s="29">
        <f t="shared" si="2"/>
        <v>99.92693323627861</v>
      </c>
      <c r="P11" s="29">
        <f t="shared" si="0"/>
        <v>100</v>
      </c>
      <c r="Q11" s="29">
        <f t="shared" si="0"/>
        <v>99.88512921879199</v>
      </c>
      <c r="R11" s="29">
        <f t="shared" si="0"/>
        <v>99.87439049766485</v>
      </c>
      <c r="S11" s="29">
        <f t="shared" si="0"/>
        <v>100</v>
      </c>
      <c r="T11" s="29"/>
    </row>
    <row r="12" spans="1:20" s="30" customFormat="1" ht="21" customHeight="1">
      <c r="A12" s="33">
        <v>3</v>
      </c>
      <c r="B12" s="77" t="s">
        <v>76</v>
      </c>
      <c r="C12" s="88">
        <f t="shared" si="3"/>
        <v>4818.559</v>
      </c>
      <c r="D12" s="20">
        <v>3227.57</v>
      </c>
      <c r="E12" s="20">
        <f t="shared" si="4"/>
        <v>1590.989</v>
      </c>
      <c r="F12" s="78">
        <f>'[4]Sheet1'!$M$5/1000</f>
        <v>1422.855</v>
      </c>
      <c r="G12" s="20">
        <f>'[4]Sheet1'!$K$5/1000</f>
        <v>88.134</v>
      </c>
      <c r="H12" s="20">
        <v>80</v>
      </c>
      <c r="I12" s="20">
        <f t="shared" si="5"/>
        <v>4813.259</v>
      </c>
      <c r="J12" s="20">
        <v>3227.57</v>
      </c>
      <c r="K12" s="20">
        <f t="shared" si="6"/>
        <v>1585.689</v>
      </c>
      <c r="L12" s="78">
        <f>'[4]Sheet1'!$M$5/1000-5.3</f>
        <v>1417.555</v>
      </c>
      <c r="M12" s="20">
        <f>'[4]Sheet1'!$K$5/1000</f>
        <v>88.134</v>
      </c>
      <c r="N12" s="20">
        <v>80</v>
      </c>
      <c r="O12" s="29">
        <f t="shared" si="2"/>
        <v>99.89000861045801</v>
      </c>
      <c r="P12" s="29">
        <f t="shared" si="0"/>
        <v>100</v>
      </c>
      <c r="Q12" s="29">
        <f t="shared" si="0"/>
        <v>99.66687387530649</v>
      </c>
      <c r="R12" s="29">
        <f t="shared" si="0"/>
        <v>99.62750947918094</v>
      </c>
      <c r="S12" s="29">
        <f t="shared" si="0"/>
        <v>100</v>
      </c>
      <c r="T12" s="29">
        <f>N12/H12*100</f>
        <v>100</v>
      </c>
    </row>
    <row r="13" spans="1:20" s="30" customFormat="1" ht="21" customHeight="1">
      <c r="A13" s="33">
        <v>4</v>
      </c>
      <c r="B13" s="77" t="s">
        <v>77</v>
      </c>
      <c r="C13" s="88">
        <f t="shared" si="3"/>
        <v>5467.276</v>
      </c>
      <c r="D13" s="20">
        <v>3526</v>
      </c>
      <c r="E13" s="20">
        <f t="shared" si="4"/>
        <v>1941.2759999999998</v>
      </c>
      <c r="F13" s="78">
        <f>'[4]Sheet1'!$M$6/1000</f>
        <v>1329.126</v>
      </c>
      <c r="G13" s="20">
        <f>'[4]Sheet1'!$K$6/1000</f>
        <v>302.15</v>
      </c>
      <c r="H13" s="20">
        <v>310</v>
      </c>
      <c r="I13" s="20">
        <f t="shared" si="5"/>
        <v>5467.276</v>
      </c>
      <c r="J13" s="20">
        <v>3526</v>
      </c>
      <c r="K13" s="20">
        <f t="shared" si="6"/>
        <v>1941.2759999999998</v>
      </c>
      <c r="L13" s="78">
        <f>'[4]Sheet1'!$M$6/1000</f>
        <v>1329.126</v>
      </c>
      <c r="M13" s="20">
        <f>'[4]Sheet1'!$K$6/1000</f>
        <v>302.15</v>
      </c>
      <c r="N13" s="20">
        <v>310</v>
      </c>
      <c r="O13" s="29">
        <f t="shared" si="2"/>
        <v>100</v>
      </c>
      <c r="P13" s="29">
        <f t="shared" si="0"/>
        <v>100</v>
      </c>
      <c r="Q13" s="29">
        <f t="shared" si="0"/>
        <v>100</v>
      </c>
      <c r="R13" s="29">
        <f t="shared" si="0"/>
        <v>100</v>
      </c>
      <c r="S13" s="29">
        <f t="shared" si="0"/>
        <v>100</v>
      </c>
      <c r="T13" s="29">
        <f t="shared" si="0"/>
        <v>100</v>
      </c>
    </row>
    <row r="14" spans="1:20" s="30" customFormat="1" ht="21" customHeight="1">
      <c r="A14" s="33">
        <v>5</v>
      </c>
      <c r="B14" s="77" t="s">
        <v>78</v>
      </c>
      <c r="C14" s="88">
        <f t="shared" si="3"/>
        <v>6008.739</v>
      </c>
      <c r="D14" s="20">
        <v>3805.77</v>
      </c>
      <c r="E14" s="20">
        <f t="shared" si="4"/>
        <v>2202.969</v>
      </c>
      <c r="F14" s="78">
        <f>'[4]Sheet1'!$M$7/1000</f>
        <v>1569.568</v>
      </c>
      <c r="G14" s="20">
        <f>'[4]Sheet1'!$K$7/1000</f>
        <v>483.401</v>
      </c>
      <c r="H14" s="20">
        <v>150</v>
      </c>
      <c r="I14" s="20">
        <f t="shared" si="5"/>
        <v>6008.739</v>
      </c>
      <c r="J14" s="20">
        <v>3805.77</v>
      </c>
      <c r="K14" s="20">
        <f t="shared" si="6"/>
        <v>2202.969</v>
      </c>
      <c r="L14" s="78">
        <f>'[4]Sheet1'!$M$7/1000</f>
        <v>1569.568</v>
      </c>
      <c r="M14" s="20">
        <f>'[4]Sheet1'!$K$7/1000</f>
        <v>483.401</v>
      </c>
      <c r="N14" s="20">
        <v>150</v>
      </c>
      <c r="O14" s="29">
        <f t="shared" si="2"/>
        <v>100</v>
      </c>
      <c r="P14" s="29">
        <f t="shared" si="0"/>
        <v>100</v>
      </c>
      <c r="Q14" s="29">
        <f t="shared" si="0"/>
        <v>100</v>
      </c>
      <c r="R14" s="29">
        <f t="shared" si="0"/>
        <v>100</v>
      </c>
      <c r="S14" s="29">
        <f t="shared" si="0"/>
        <v>100</v>
      </c>
      <c r="T14" s="29">
        <f t="shared" si="0"/>
        <v>100</v>
      </c>
    </row>
    <row r="15" spans="1:20" s="30" customFormat="1" ht="21" customHeight="1">
      <c r="A15" s="33">
        <v>6</v>
      </c>
      <c r="B15" s="77" t="s">
        <v>79</v>
      </c>
      <c r="C15" s="88">
        <f t="shared" si="3"/>
        <v>4427.268</v>
      </c>
      <c r="D15" s="20">
        <v>3156</v>
      </c>
      <c r="E15" s="20">
        <f t="shared" si="4"/>
        <v>1271.268</v>
      </c>
      <c r="F15" s="78">
        <f>'[4]Sheet1'!$M$8/1000</f>
        <v>1128.855</v>
      </c>
      <c r="G15" s="20">
        <f>'[4]Sheet1'!$K$8/1000</f>
        <v>142.413</v>
      </c>
      <c r="H15" s="20">
        <v>0</v>
      </c>
      <c r="I15" s="20">
        <f t="shared" si="5"/>
        <v>4427.268</v>
      </c>
      <c r="J15" s="20">
        <v>3156</v>
      </c>
      <c r="K15" s="20">
        <f t="shared" si="6"/>
        <v>1271.268</v>
      </c>
      <c r="L15" s="78">
        <f>'[4]Sheet1'!$M$8/1000</f>
        <v>1128.855</v>
      </c>
      <c r="M15" s="20">
        <f>'[4]Sheet1'!$K$8/1000</f>
        <v>142.413</v>
      </c>
      <c r="N15" s="20">
        <v>0</v>
      </c>
      <c r="O15" s="29">
        <f t="shared" si="2"/>
        <v>100</v>
      </c>
      <c r="P15" s="29">
        <f t="shared" si="0"/>
        <v>100</v>
      </c>
      <c r="Q15" s="29">
        <f t="shared" si="0"/>
        <v>100</v>
      </c>
      <c r="R15" s="29">
        <f t="shared" si="0"/>
        <v>100</v>
      </c>
      <c r="S15" s="29">
        <f t="shared" si="0"/>
        <v>100</v>
      </c>
      <c r="T15" s="29"/>
    </row>
    <row r="16" spans="1:20" s="30" customFormat="1" ht="21" customHeight="1">
      <c r="A16" s="33">
        <v>7</v>
      </c>
      <c r="B16" s="77" t="s">
        <v>53</v>
      </c>
      <c r="C16" s="88">
        <f t="shared" si="3"/>
        <v>4600.619000000001</v>
      </c>
      <c r="D16" s="20">
        <v>2055.68</v>
      </c>
      <c r="E16" s="20">
        <f t="shared" si="4"/>
        <v>2544.9390000000003</v>
      </c>
      <c r="F16" s="78">
        <f>'[4]Sheet1'!$M$9/1000</f>
        <v>1970.729</v>
      </c>
      <c r="G16" s="20">
        <f>'[4]Sheet1'!$K$9/1000</f>
        <v>574.21</v>
      </c>
      <c r="H16" s="20">
        <v>0</v>
      </c>
      <c r="I16" s="20">
        <f t="shared" si="5"/>
        <v>4600.619000000001</v>
      </c>
      <c r="J16" s="20">
        <v>2055.68</v>
      </c>
      <c r="K16" s="20">
        <f t="shared" si="6"/>
        <v>2544.9390000000003</v>
      </c>
      <c r="L16" s="78">
        <f>'[4]Sheet1'!$M$9/1000</f>
        <v>1970.729</v>
      </c>
      <c r="M16" s="20">
        <f>'[4]Sheet1'!$K$9/1000</f>
        <v>574.21</v>
      </c>
      <c r="N16" s="20">
        <v>0</v>
      </c>
      <c r="O16" s="29">
        <f t="shared" si="2"/>
        <v>100</v>
      </c>
      <c r="P16" s="29">
        <f t="shared" si="0"/>
        <v>100</v>
      </c>
      <c r="Q16" s="29">
        <f t="shared" si="0"/>
        <v>100</v>
      </c>
      <c r="R16" s="29">
        <f t="shared" si="0"/>
        <v>100</v>
      </c>
      <c r="S16" s="29">
        <f t="shared" si="0"/>
        <v>100</v>
      </c>
      <c r="T16" s="29"/>
    </row>
    <row r="17" spans="1:20" s="30" customFormat="1" ht="21" customHeight="1">
      <c r="A17" s="33">
        <v>8</v>
      </c>
      <c r="B17" s="79" t="s">
        <v>80</v>
      </c>
      <c r="C17" s="88">
        <f t="shared" si="3"/>
        <v>5379.554</v>
      </c>
      <c r="D17" s="20">
        <v>3412.01</v>
      </c>
      <c r="E17" s="20">
        <f t="shared" si="4"/>
        <v>1967.544</v>
      </c>
      <c r="F17" s="78">
        <f>'[4]Sheet1'!$M$10/1000</f>
        <v>1400.026</v>
      </c>
      <c r="G17" s="20">
        <f>'[4]Sheet1'!$K$10/1000</f>
        <v>567.518</v>
      </c>
      <c r="H17" s="20">
        <v>0</v>
      </c>
      <c r="I17" s="20">
        <f t="shared" si="5"/>
        <v>5379.554</v>
      </c>
      <c r="J17" s="20">
        <v>3412.01</v>
      </c>
      <c r="K17" s="20">
        <f t="shared" si="6"/>
        <v>1967.544</v>
      </c>
      <c r="L17" s="78">
        <f>'[4]Sheet1'!$M$10/1000</f>
        <v>1400.026</v>
      </c>
      <c r="M17" s="20">
        <f>'[4]Sheet1'!$K$10/1000</f>
        <v>567.518</v>
      </c>
      <c r="N17" s="20">
        <v>0</v>
      </c>
      <c r="O17" s="29">
        <f t="shared" si="2"/>
        <v>100</v>
      </c>
      <c r="P17" s="29">
        <f t="shared" si="0"/>
        <v>100</v>
      </c>
      <c r="Q17" s="29">
        <f t="shared" si="0"/>
        <v>100</v>
      </c>
      <c r="R17" s="29">
        <f t="shared" si="0"/>
        <v>100</v>
      </c>
      <c r="S17" s="29">
        <f t="shared" si="0"/>
        <v>100</v>
      </c>
      <c r="T17" s="29"/>
    </row>
    <row r="18" spans="1:20" s="30" customFormat="1" ht="21" customHeight="1">
      <c r="A18" s="33">
        <v>9</v>
      </c>
      <c r="B18" s="77" t="s">
        <v>54</v>
      </c>
      <c r="C18" s="88">
        <f t="shared" si="3"/>
        <v>4518.515</v>
      </c>
      <c r="D18" s="20">
        <v>3594.21</v>
      </c>
      <c r="E18" s="20">
        <f t="shared" si="4"/>
        <v>924.3050000000001</v>
      </c>
      <c r="F18" s="78">
        <f>'[4]Sheet1'!$M$11/1000</f>
        <v>799.855</v>
      </c>
      <c r="G18" s="20">
        <f>'[4]Sheet1'!$K$11/1000</f>
        <v>114.45</v>
      </c>
      <c r="H18" s="20">
        <v>10</v>
      </c>
      <c r="I18" s="20">
        <f t="shared" si="5"/>
        <v>4518.515</v>
      </c>
      <c r="J18" s="20">
        <v>3594.21</v>
      </c>
      <c r="K18" s="20">
        <f t="shared" si="6"/>
        <v>924.3050000000001</v>
      </c>
      <c r="L18" s="78">
        <f>'[4]Sheet1'!$M$11/1000</f>
        <v>799.855</v>
      </c>
      <c r="M18" s="20">
        <f>'[4]Sheet1'!$K$11/1000</f>
        <v>114.45</v>
      </c>
      <c r="N18" s="20">
        <v>10</v>
      </c>
      <c r="O18" s="29">
        <f t="shared" si="2"/>
        <v>100</v>
      </c>
      <c r="P18" s="29">
        <f t="shared" si="0"/>
        <v>100</v>
      </c>
      <c r="Q18" s="29">
        <f t="shared" si="0"/>
        <v>100</v>
      </c>
      <c r="R18" s="29">
        <f t="shared" si="0"/>
        <v>100</v>
      </c>
      <c r="S18" s="29">
        <f t="shared" si="0"/>
        <v>100</v>
      </c>
      <c r="T18" s="29">
        <f t="shared" si="0"/>
        <v>100</v>
      </c>
    </row>
    <row r="19" spans="1:20" s="30" customFormat="1" ht="21" customHeight="1">
      <c r="A19" s="33">
        <v>10</v>
      </c>
      <c r="B19" s="77" t="s">
        <v>81</v>
      </c>
      <c r="C19" s="88">
        <f t="shared" si="3"/>
        <v>7565.814</v>
      </c>
      <c r="D19" s="20">
        <v>3169.72</v>
      </c>
      <c r="E19" s="20">
        <f t="shared" si="4"/>
        <v>4396.094</v>
      </c>
      <c r="F19" s="78">
        <f>'[4]Sheet1'!$M$12/1000</f>
        <v>3335.697</v>
      </c>
      <c r="G19" s="20">
        <f>'[4]Sheet1'!$K$12/1000</f>
        <v>910.397</v>
      </c>
      <c r="H19" s="20">
        <v>150</v>
      </c>
      <c r="I19" s="20">
        <f t="shared" si="5"/>
        <v>7565.814</v>
      </c>
      <c r="J19" s="20">
        <v>3169.72</v>
      </c>
      <c r="K19" s="20">
        <f t="shared" si="6"/>
        <v>4396.094</v>
      </c>
      <c r="L19" s="78">
        <f>'[4]Sheet1'!$M$12/1000</f>
        <v>3335.697</v>
      </c>
      <c r="M19" s="20">
        <f>'[4]Sheet1'!$K$12/1000</f>
        <v>910.397</v>
      </c>
      <c r="N19" s="20">
        <v>150</v>
      </c>
      <c r="O19" s="29">
        <f t="shared" si="2"/>
        <v>100</v>
      </c>
      <c r="P19" s="29">
        <f t="shared" si="0"/>
        <v>100</v>
      </c>
      <c r="Q19" s="29">
        <f t="shared" si="0"/>
        <v>100</v>
      </c>
      <c r="R19" s="29">
        <f t="shared" si="0"/>
        <v>100</v>
      </c>
      <c r="S19" s="29">
        <f t="shared" si="0"/>
        <v>100</v>
      </c>
      <c r="T19" s="29">
        <f t="shared" si="0"/>
        <v>100</v>
      </c>
    </row>
    <row r="20" spans="1:20" s="30" customFormat="1" ht="21" customHeight="1">
      <c r="A20" s="33">
        <v>11</v>
      </c>
      <c r="B20" s="77" t="s">
        <v>82</v>
      </c>
      <c r="C20" s="88">
        <f t="shared" si="3"/>
        <v>5393.8279999999995</v>
      </c>
      <c r="D20" s="20">
        <v>3334.18</v>
      </c>
      <c r="E20" s="20">
        <f t="shared" si="4"/>
        <v>2059.648</v>
      </c>
      <c r="F20" s="78">
        <f>'[4]Sheet1'!$M$13/1000</f>
        <v>1326.248</v>
      </c>
      <c r="G20" s="20">
        <f>'[4]Sheet1'!$K$13/1000</f>
        <v>733.4</v>
      </c>
      <c r="H20" s="20">
        <v>0</v>
      </c>
      <c r="I20" s="20">
        <f t="shared" si="5"/>
        <v>5393.8279999999995</v>
      </c>
      <c r="J20" s="20">
        <v>3334.18</v>
      </c>
      <c r="K20" s="20">
        <f t="shared" si="6"/>
        <v>2059.648</v>
      </c>
      <c r="L20" s="78">
        <f>'[4]Sheet1'!$M$13/1000</f>
        <v>1326.248</v>
      </c>
      <c r="M20" s="20">
        <f>'[4]Sheet1'!$K$13/1000</f>
        <v>733.4</v>
      </c>
      <c r="N20" s="20">
        <v>0</v>
      </c>
      <c r="O20" s="29">
        <f t="shared" si="2"/>
        <v>100</v>
      </c>
      <c r="P20" s="29">
        <f t="shared" si="0"/>
        <v>100</v>
      </c>
      <c r="Q20" s="29">
        <f t="shared" si="0"/>
        <v>100</v>
      </c>
      <c r="R20" s="29">
        <f t="shared" si="0"/>
        <v>100</v>
      </c>
      <c r="S20" s="29">
        <f t="shared" si="0"/>
        <v>100</v>
      </c>
      <c r="T20" s="29"/>
    </row>
    <row r="21" spans="1:20" s="30" customFormat="1" ht="21" customHeight="1">
      <c r="A21" s="33">
        <v>12</v>
      </c>
      <c r="B21" s="77" t="s">
        <v>55</v>
      </c>
      <c r="C21" s="88">
        <f t="shared" si="3"/>
        <v>4576.7778</v>
      </c>
      <c r="D21" s="20">
        <v>2803.93</v>
      </c>
      <c r="E21" s="20">
        <f t="shared" si="4"/>
        <v>1772.8478</v>
      </c>
      <c r="F21" s="78">
        <f>'[4]Sheet1'!$M$14/1000</f>
        <v>1449.705</v>
      </c>
      <c r="G21" s="20">
        <f>'[4]Sheet1'!$K$14/1000</f>
        <v>323.14279999999997</v>
      </c>
      <c r="H21" s="20">
        <v>0</v>
      </c>
      <c r="I21" s="20">
        <f t="shared" si="5"/>
        <v>4568.8778</v>
      </c>
      <c r="J21" s="20">
        <v>2803.93</v>
      </c>
      <c r="K21" s="20">
        <f t="shared" si="6"/>
        <v>1764.9478</v>
      </c>
      <c r="L21" s="78">
        <f>'[4]Sheet1'!$M$14/1000-6.9</f>
        <v>1442.8049999999998</v>
      </c>
      <c r="M21" s="20">
        <f>'[4]Sheet1'!$K$14/1000-1</f>
        <v>322.14279999999997</v>
      </c>
      <c r="N21" s="20">
        <v>0</v>
      </c>
      <c r="O21" s="29">
        <f t="shared" si="2"/>
        <v>99.8273894791222</v>
      </c>
      <c r="P21" s="29">
        <f t="shared" si="0"/>
        <v>100</v>
      </c>
      <c r="Q21" s="29">
        <f t="shared" si="0"/>
        <v>99.55438927131816</v>
      </c>
      <c r="R21" s="29">
        <f t="shared" si="0"/>
        <v>99.5240410980165</v>
      </c>
      <c r="S21" s="29">
        <f t="shared" si="0"/>
        <v>99.69053929098838</v>
      </c>
      <c r="T21" s="29"/>
    </row>
    <row r="22" spans="1:20" s="30" customFormat="1" ht="21" customHeight="1">
      <c r="A22" s="33">
        <v>13</v>
      </c>
      <c r="B22" s="77" t="s">
        <v>52</v>
      </c>
      <c r="C22" s="88">
        <f t="shared" si="3"/>
        <v>6928.826</v>
      </c>
      <c r="D22" s="20">
        <v>2798</v>
      </c>
      <c r="E22" s="20">
        <f t="shared" si="4"/>
        <v>4130.826</v>
      </c>
      <c r="F22" s="78">
        <f>'[4]Sheet1'!$M$15/1000</f>
        <v>3490.226</v>
      </c>
      <c r="G22" s="20">
        <f>'[4]Sheet1'!$K$15/1000</f>
        <v>370.6</v>
      </c>
      <c r="H22" s="20">
        <v>270</v>
      </c>
      <c r="I22" s="20">
        <f t="shared" si="5"/>
        <v>6928.826</v>
      </c>
      <c r="J22" s="20">
        <v>2798</v>
      </c>
      <c r="K22" s="20">
        <f t="shared" si="6"/>
        <v>4130.826</v>
      </c>
      <c r="L22" s="78">
        <f>'[4]Sheet1'!$M$15/1000</f>
        <v>3490.226</v>
      </c>
      <c r="M22" s="20">
        <f>'[4]Sheet1'!$K$15/1000</f>
        <v>370.6</v>
      </c>
      <c r="N22" s="20">
        <v>270</v>
      </c>
      <c r="O22" s="29">
        <f t="shared" si="2"/>
        <v>100</v>
      </c>
      <c r="P22" s="29">
        <f t="shared" si="0"/>
        <v>100</v>
      </c>
      <c r="Q22" s="29">
        <f t="shared" si="0"/>
        <v>100</v>
      </c>
      <c r="R22" s="29">
        <f t="shared" si="0"/>
        <v>100</v>
      </c>
      <c r="S22" s="29">
        <f t="shared" si="0"/>
        <v>100</v>
      </c>
      <c r="T22" s="29">
        <f t="shared" si="0"/>
        <v>100</v>
      </c>
    </row>
    <row r="23" spans="1:20" s="30" customFormat="1" ht="21" customHeight="1">
      <c r="A23" s="33">
        <v>14</v>
      </c>
      <c r="B23" s="77" t="s">
        <v>83</v>
      </c>
      <c r="C23" s="88">
        <f t="shared" si="3"/>
        <v>4843.355</v>
      </c>
      <c r="D23" s="20">
        <v>2993.15</v>
      </c>
      <c r="E23" s="20">
        <f t="shared" si="4"/>
        <v>1850.205</v>
      </c>
      <c r="F23" s="78">
        <f>'[4]Sheet1'!$M$16/1000</f>
        <v>1646.355</v>
      </c>
      <c r="G23" s="20">
        <f>'[4]Sheet1'!$K$16/1000</f>
        <v>203.85</v>
      </c>
      <c r="H23" s="20">
        <v>0</v>
      </c>
      <c r="I23" s="20">
        <f t="shared" si="5"/>
        <v>4843.355</v>
      </c>
      <c r="J23" s="20">
        <v>2993.15</v>
      </c>
      <c r="K23" s="20">
        <f t="shared" si="6"/>
        <v>1850.205</v>
      </c>
      <c r="L23" s="78">
        <f>'[4]Sheet1'!$M$16/1000</f>
        <v>1646.355</v>
      </c>
      <c r="M23" s="20">
        <f>'[4]Sheet1'!$K$16/1000</f>
        <v>203.85</v>
      </c>
      <c r="N23" s="20">
        <v>0</v>
      </c>
      <c r="O23" s="29">
        <f t="shared" si="2"/>
        <v>100</v>
      </c>
      <c r="P23" s="29">
        <f t="shared" si="0"/>
        <v>100</v>
      </c>
      <c r="Q23" s="29">
        <f t="shared" si="0"/>
        <v>100</v>
      </c>
      <c r="R23" s="29">
        <f t="shared" si="0"/>
        <v>100</v>
      </c>
      <c r="S23" s="29">
        <f t="shared" si="0"/>
        <v>100</v>
      </c>
      <c r="T23" s="29"/>
    </row>
    <row r="24" spans="1:20" s="30" customFormat="1" ht="21" customHeight="1">
      <c r="A24" s="33">
        <v>15</v>
      </c>
      <c r="B24" s="77" t="s">
        <v>84</v>
      </c>
      <c r="C24" s="88">
        <f t="shared" si="3"/>
        <v>5133.297</v>
      </c>
      <c r="D24" s="20">
        <v>3387.95</v>
      </c>
      <c r="E24" s="20">
        <f t="shared" si="4"/>
        <v>1745.347</v>
      </c>
      <c r="F24" s="78">
        <f>'[4]Sheet1'!$M$17/1000</f>
        <v>1243.797</v>
      </c>
      <c r="G24" s="20">
        <f>'[4]Sheet1'!$K$17/1000</f>
        <v>421.55</v>
      </c>
      <c r="H24" s="20">
        <v>80</v>
      </c>
      <c r="I24" s="20">
        <f t="shared" si="5"/>
        <v>5133.297</v>
      </c>
      <c r="J24" s="20">
        <v>3387.95</v>
      </c>
      <c r="K24" s="20">
        <f t="shared" si="6"/>
        <v>1745.347</v>
      </c>
      <c r="L24" s="78">
        <f>'[4]Sheet1'!$M$17/1000</f>
        <v>1243.797</v>
      </c>
      <c r="M24" s="20">
        <f>'[4]Sheet1'!$K$17/1000</f>
        <v>421.55</v>
      </c>
      <c r="N24" s="20">
        <v>80</v>
      </c>
      <c r="O24" s="29">
        <f t="shared" si="2"/>
        <v>100</v>
      </c>
      <c r="P24" s="29">
        <f t="shared" si="0"/>
        <v>100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100</v>
      </c>
    </row>
    <row r="25" spans="1:20" s="30" customFormat="1" ht="21" customHeight="1">
      <c r="A25" s="33">
        <v>16</v>
      </c>
      <c r="B25" s="77" t="s">
        <v>253</v>
      </c>
      <c r="C25" s="88">
        <f t="shared" si="3"/>
        <v>7673.97</v>
      </c>
      <c r="D25" s="20">
        <v>4276</v>
      </c>
      <c r="E25" s="20">
        <f t="shared" si="4"/>
        <v>3397.9700000000003</v>
      </c>
      <c r="F25" s="78">
        <f>'[4]Sheet1'!$M$18/1000</f>
        <v>2850.097</v>
      </c>
      <c r="G25" s="20">
        <f>'[4]Sheet1'!$K$18/1000</f>
        <v>547.873</v>
      </c>
      <c r="H25" s="20">
        <v>0</v>
      </c>
      <c r="I25" s="20">
        <f t="shared" si="5"/>
        <v>7548.6695</v>
      </c>
      <c r="J25" s="20">
        <v>4276</v>
      </c>
      <c r="K25" s="20">
        <f t="shared" si="6"/>
        <v>3272.6695</v>
      </c>
      <c r="L25" s="78">
        <f>'[4]Sheet1'!$M$18/1000-5.3-120</f>
        <v>2724.797</v>
      </c>
      <c r="M25" s="20">
        <f>'[4]Sheet1'!$K$18/1000-0.0005</f>
        <v>547.8725000000001</v>
      </c>
      <c r="N25" s="20">
        <v>0</v>
      </c>
      <c r="O25" s="29">
        <f t="shared" si="2"/>
        <v>98.36720107063228</v>
      </c>
      <c r="P25" s="29">
        <f>J25/D25*100</f>
        <v>100</v>
      </c>
      <c r="Q25" s="29">
        <f>K25/E25*100</f>
        <v>96.31248951579913</v>
      </c>
      <c r="R25" s="29">
        <f>L25/F25*100</f>
        <v>95.60365840180177</v>
      </c>
      <c r="S25" s="29">
        <f>M25/G25*100</f>
        <v>99.99990873797395</v>
      </c>
      <c r="T25" s="29"/>
    </row>
    <row r="26" spans="1:20" s="30" customFormat="1" ht="21" customHeight="1">
      <c r="A26" s="33">
        <v>17</v>
      </c>
      <c r="B26" s="77" t="s">
        <v>56</v>
      </c>
      <c r="C26" s="88">
        <f t="shared" si="3"/>
        <v>5310.353</v>
      </c>
      <c r="D26" s="20">
        <v>2510.62</v>
      </c>
      <c r="E26" s="20">
        <f t="shared" si="4"/>
        <v>2799.733</v>
      </c>
      <c r="F26" s="78">
        <f>'[4]Sheet1'!$M$19/1000</f>
        <v>1768.433</v>
      </c>
      <c r="G26" s="20">
        <f>'[4]Sheet1'!$K$19/1000</f>
        <v>1031.3</v>
      </c>
      <c r="H26" s="20">
        <v>0</v>
      </c>
      <c r="I26" s="20">
        <f t="shared" si="5"/>
        <v>5210.353</v>
      </c>
      <c r="J26" s="20">
        <v>2510.62</v>
      </c>
      <c r="K26" s="20">
        <f t="shared" si="6"/>
        <v>2699.733</v>
      </c>
      <c r="L26" s="78">
        <f>'[4]Sheet1'!$M$19/1000-100</f>
        <v>1668.433</v>
      </c>
      <c r="M26" s="20">
        <f>'[4]Sheet1'!$K$19/1000</f>
        <v>1031.3</v>
      </c>
      <c r="N26" s="20">
        <v>0</v>
      </c>
      <c r="O26" s="29">
        <f t="shared" si="2"/>
        <v>98.11688601492217</v>
      </c>
      <c r="P26" s="29">
        <f aca="true" t="shared" si="7" ref="P26:S27">J26/D26*100</f>
        <v>100</v>
      </c>
      <c r="Q26" s="29">
        <f t="shared" si="7"/>
        <v>96.4282308348689</v>
      </c>
      <c r="R26" s="29">
        <f t="shared" si="7"/>
        <v>94.34527629828216</v>
      </c>
      <c r="S26" s="29">
        <f t="shared" si="7"/>
        <v>100</v>
      </c>
      <c r="T26" s="29"/>
    </row>
    <row r="27" spans="1:20" s="30" customFormat="1" ht="21" customHeight="1">
      <c r="A27" s="33">
        <v>18</v>
      </c>
      <c r="B27" s="77" t="s">
        <v>56</v>
      </c>
      <c r="C27" s="88">
        <f>SUM(D27:E27)</f>
        <v>3776.0919999999996</v>
      </c>
      <c r="D27" s="20">
        <v>1532.356</v>
      </c>
      <c r="E27" s="20">
        <f>SUM(F27:H27)</f>
        <v>2243.736</v>
      </c>
      <c r="F27" s="78">
        <v>1959.825</v>
      </c>
      <c r="G27" s="20">
        <v>283.911</v>
      </c>
      <c r="H27" s="20"/>
      <c r="I27" s="20">
        <f>SUM(J27:K27)</f>
        <v>3776.0919999999996</v>
      </c>
      <c r="J27" s="20">
        <v>1532.356</v>
      </c>
      <c r="K27" s="20">
        <f>SUM(L27:N27)</f>
        <v>2243.736</v>
      </c>
      <c r="L27" s="20">
        <v>1959.825</v>
      </c>
      <c r="M27" s="20">
        <v>283.911</v>
      </c>
      <c r="N27" s="20">
        <v>0</v>
      </c>
      <c r="O27" s="29">
        <f t="shared" si="2"/>
        <v>100</v>
      </c>
      <c r="P27" s="29">
        <f t="shared" si="7"/>
        <v>100</v>
      </c>
      <c r="Q27" s="29">
        <f t="shared" si="7"/>
        <v>100</v>
      </c>
      <c r="R27" s="29">
        <f t="shared" si="7"/>
        <v>100</v>
      </c>
      <c r="S27" s="29">
        <f t="shared" si="7"/>
        <v>100</v>
      </c>
      <c r="T27" s="29"/>
    </row>
  </sheetData>
  <sheetProtection/>
  <mergeCells count="17">
    <mergeCell ref="S1:T1"/>
    <mergeCell ref="A2:T2"/>
    <mergeCell ref="A3:T3"/>
    <mergeCell ref="O5:T5"/>
    <mergeCell ref="A5:A7"/>
    <mergeCell ref="B5:B7"/>
    <mergeCell ref="C5:H5"/>
    <mergeCell ref="I5:N5"/>
    <mergeCell ref="C6:C7"/>
    <mergeCell ref="D6:D7"/>
    <mergeCell ref="Q6:T6"/>
    <mergeCell ref="E6:H6"/>
    <mergeCell ref="I6:I7"/>
    <mergeCell ref="J6:J7"/>
    <mergeCell ref="K6:N6"/>
    <mergeCell ref="O6:O7"/>
    <mergeCell ref="P6:P7"/>
  </mergeCells>
  <printOptions horizontalCentered="1"/>
  <pageMargins left="0.248031496" right="0" top="0.537401575" bottom="0.234251969" header="0.511811023622047" footer="0.511811023622047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8" defaultRowHeight="15"/>
  <cols>
    <col min="1" max="1" width="26.09765625" style="6" customWidth="1"/>
    <col min="2" max="2" width="1.1015625" style="6" customWidth="1"/>
    <col min="3" max="3" width="28.09765625" style="6" customWidth="1"/>
    <col min="4" max="16384" width="8" style="6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zoomScalePageLayoutView="0" workbookViewId="0" topLeftCell="A1">
      <selection activeCell="A3" sqref="A3:O3"/>
    </sheetView>
  </sheetViews>
  <sheetFormatPr defaultColWidth="9" defaultRowHeight="15"/>
  <cols>
    <col min="1" max="1" width="4.3984375" style="67" customWidth="1"/>
    <col min="2" max="2" width="19.3984375" style="67" customWidth="1"/>
    <col min="3" max="6" width="8.796875" style="68" customWidth="1"/>
    <col min="7" max="12" width="8.69921875" style="68" customWidth="1"/>
    <col min="13" max="14" width="5.296875" style="68" customWidth="1"/>
    <col min="15" max="15" width="5.796875" style="68" customWidth="1"/>
    <col min="16" max="16384" width="9" style="67" customWidth="1"/>
  </cols>
  <sheetData>
    <row r="1" spans="1:15" ht="16.5">
      <c r="A1" s="40" t="s">
        <v>64</v>
      </c>
      <c r="M1" s="103" t="s">
        <v>121</v>
      </c>
      <c r="N1" s="143"/>
      <c r="O1" s="143"/>
    </row>
    <row r="2" spans="1:15" s="69" customFormat="1" ht="22.5" customHeight="1">
      <c r="A2" s="144" t="s">
        <v>281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s="70" customFormat="1" ht="22.5" customHeight="1">
      <c r="A3" s="145" t="s">
        <v>325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2:15" ht="23.25" customHeight="1">
      <c r="L4" s="146" t="s">
        <v>280</v>
      </c>
      <c r="M4" s="146"/>
      <c r="N4" s="146"/>
      <c r="O4" s="146"/>
    </row>
    <row r="5" spans="1:15" s="72" customFormat="1" ht="21" customHeight="1">
      <c r="A5" s="142" t="s">
        <v>279</v>
      </c>
      <c r="B5" s="142" t="s">
        <v>32</v>
      </c>
      <c r="C5" s="141" t="s">
        <v>96</v>
      </c>
      <c r="D5" s="141"/>
      <c r="E5" s="141"/>
      <c r="F5" s="141" t="s">
        <v>97</v>
      </c>
      <c r="G5" s="158"/>
      <c r="H5" s="158"/>
      <c r="I5" s="158"/>
      <c r="J5" s="158"/>
      <c r="K5" s="158"/>
      <c r="L5" s="158"/>
      <c r="M5" s="141" t="s">
        <v>100</v>
      </c>
      <c r="N5" s="158"/>
      <c r="O5" s="158"/>
    </row>
    <row r="6" spans="1:15" s="72" customFormat="1" ht="21" customHeight="1">
      <c r="A6" s="142"/>
      <c r="B6" s="142"/>
      <c r="C6" s="141" t="s">
        <v>33</v>
      </c>
      <c r="D6" s="141" t="s">
        <v>122</v>
      </c>
      <c r="E6" s="158"/>
      <c r="F6" s="141" t="s">
        <v>33</v>
      </c>
      <c r="G6" s="141" t="s">
        <v>125</v>
      </c>
      <c r="H6" s="158"/>
      <c r="I6" s="158"/>
      <c r="J6" s="158"/>
      <c r="K6" s="158"/>
      <c r="L6" s="158"/>
      <c r="M6" s="141" t="s">
        <v>33</v>
      </c>
      <c r="N6" s="141" t="s">
        <v>122</v>
      </c>
      <c r="O6" s="158"/>
    </row>
    <row r="7" spans="1:15" s="72" customFormat="1" ht="23.25" customHeight="1">
      <c r="A7" s="142"/>
      <c r="B7" s="142"/>
      <c r="C7" s="141"/>
      <c r="D7" s="141" t="s">
        <v>123</v>
      </c>
      <c r="E7" s="141" t="s">
        <v>124</v>
      </c>
      <c r="F7" s="141"/>
      <c r="G7" s="141" t="s">
        <v>123</v>
      </c>
      <c r="H7" s="158"/>
      <c r="I7" s="158"/>
      <c r="J7" s="141" t="s">
        <v>124</v>
      </c>
      <c r="K7" s="141"/>
      <c r="L7" s="141"/>
      <c r="M7" s="141"/>
      <c r="N7" s="141" t="s">
        <v>123</v>
      </c>
      <c r="O7" s="141" t="s">
        <v>124</v>
      </c>
    </row>
    <row r="8" spans="1:15" s="72" customFormat="1" ht="53.25" customHeight="1">
      <c r="A8" s="142"/>
      <c r="B8" s="142"/>
      <c r="C8" s="141"/>
      <c r="D8" s="158"/>
      <c r="E8" s="141"/>
      <c r="F8" s="141"/>
      <c r="G8" s="71" t="s">
        <v>33</v>
      </c>
      <c r="H8" s="71" t="s">
        <v>126</v>
      </c>
      <c r="I8" s="71" t="s">
        <v>127</v>
      </c>
      <c r="J8" s="71" t="s">
        <v>33</v>
      </c>
      <c r="K8" s="71" t="s">
        <v>126</v>
      </c>
      <c r="L8" s="71" t="s">
        <v>127</v>
      </c>
      <c r="M8" s="141"/>
      <c r="N8" s="158"/>
      <c r="O8" s="158"/>
    </row>
    <row r="9" spans="1:15" s="38" customFormat="1" ht="24.75" customHeight="1">
      <c r="A9" s="35"/>
      <c r="B9" s="35" t="s">
        <v>35</v>
      </c>
      <c r="C9" s="36">
        <f aca="true" t="shared" si="0" ref="C9:L9">C10+C16</f>
        <v>2188434</v>
      </c>
      <c r="D9" s="36">
        <f t="shared" si="0"/>
        <v>906434</v>
      </c>
      <c r="E9" s="36">
        <f t="shared" si="0"/>
        <v>1282000</v>
      </c>
      <c r="F9" s="36">
        <f t="shared" si="0"/>
        <v>1629692</v>
      </c>
      <c r="G9" s="36">
        <f t="shared" si="0"/>
        <v>615800</v>
      </c>
      <c r="H9" s="36">
        <f t="shared" si="0"/>
        <v>615800</v>
      </c>
      <c r="I9" s="36">
        <f t="shared" si="0"/>
        <v>0</v>
      </c>
      <c r="J9" s="36">
        <f t="shared" si="0"/>
        <v>1013892</v>
      </c>
      <c r="K9" s="36">
        <f>K10+K16</f>
        <v>1013892</v>
      </c>
      <c r="L9" s="36">
        <f t="shared" si="0"/>
        <v>0</v>
      </c>
      <c r="M9" s="83">
        <f>F9/C9*100</f>
        <v>74.46840983095674</v>
      </c>
      <c r="N9" s="83">
        <f>G9/D9*100</f>
        <v>67.9365513650194</v>
      </c>
      <c r="O9" s="83">
        <f>J9/E9*100</f>
        <v>79.08673946957879</v>
      </c>
    </row>
    <row r="10" spans="1:15" s="38" customFormat="1" ht="24.75" customHeight="1">
      <c r="A10" s="35" t="s">
        <v>1</v>
      </c>
      <c r="B10" s="54" t="s">
        <v>120</v>
      </c>
      <c r="C10" s="36">
        <f aca="true" t="shared" si="1" ref="C10:L10">SUM(C11:C15)</f>
        <v>1138434</v>
      </c>
      <c r="D10" s="36">
        <f t="shared" si="1"/>
        <v>906434</v>
      </c>
      <c r="E10" s="36">
        <f t="shared" si="1"/>
        <v>232000</v>
      </c>
      <c r="F10" s="36">
        <f t="shared" si="1"/>
        <v>659692</v>
      </c>
      <c r="G10" s="36">
        <f t="shared" si="1"/>
        <v>615800</v>
      </c>
      <c r="H10" s="36">
        <f t="shared" si="1"/>
        <v>615800</v>
      </c>
      <c r="I10" s="36">
        <f t="shared" si="1"/>
        <v>0</v>
      </c>
      <c r="J10" s="36">
        <f t="shared" si="1"/>
        <v>43892</v>
      </c>
      <c r="K10" s="36">
        <f t="shared" si="1"/>
        <v>43892</v>
      </c>
      <c r="L10" s="36">
        <f t="shared" si="1"/>
        <v>0</v>
      </c>
      <c r="M10" s="83">
        <f>F10/C10*100</f>
        <v>57.94732061762035</v>
      </c>
      <c r="N10" s="83">
        <f>G10/D10*100</f>
        <v>67.9365513650194</v>
      </c>
      <c r="O10" s="83">
        <f aca="true" t="shared" si="2" ref="O10:O23">J10/E10*100</f>
        <v>18.91896551724138</v>
      </c>
    </row>
    <row r="11" spans="1:15" s="75" customFormat="1" ht="21.75" customHeight="1">
      <c r="A11" s="73">
        <v>1</v>
      </c>
      <c r="B11" s="76" t="s">
        <v>137</v>
      </c>
      <c r="C11" s="29">
        <f>SUM(D11:E11)</f>
        <v>232000</v>
      </c>
      <c r="D11" s="29"/>
      <c r="E11" s="29">
        <f>7000+15000+10000+70000+130000</f>
        <v>232000</v>
      </c>
      <c r="F11" s="29">
        <f aca="true" t="shared" si="3" ref="F11:F23">G11+J11</f>
        <v>43892</v>
      </c>
      <c r="G11" s="29">
        <f aca="true" t="shared" si="4" ref="G11:G23">SUM(H11:I11)</f>
        <v>0</v>
      </c>
      <c r="H11" s="29"/>
      <c r="I11" s="29"/>
      <c r="J11" s="29">
        <f>SUM(K11:L11)</f>
        <v>43892</v>
      </c>
      <c r="K11" s="29">
        <f>5400+2800+35692</f>
        <v>43892</v>
      </c>
      <c r="L11" s="29"/>
      <c r="M11" s="84">
        <f aca="true" t="shared" si="5" ref="M11:M23">F11/C11*100</f>
        <v>18.91896551724138</v>
      </c>
      <c r="N11" s="84"/>
      <c r="O11" s="84">
        <f>J11/E11*100</f>
        <v>18.91896551724138</v>
      </c>
    </row>
    <row r="12" spans="1:15" s="75" customFormat="1" ht="21.75" customHeight="1">
      <c r="A12" s="73">
        <v>2</v>
      </c>
      <c r="B12" s="76" t="s">
        <v>168</v>
      </c>
      <c r="C12" s="29">
        <f>SUM(D12:E12)</f>
        <v>250000</v>
      </c>
      <c r="D12" s="29">
        <v>250000</v>
      </c>
      <c r="E12" s="29"/>
      <c r="F12" s="29">
        <f>G12+J12</f>
        <v>15800</v>
      </c>
      <c r="G12" s="29">
        <f>SUM(H12:I12)</f>
        <v>15800</v>
      </c>
      <c r="H12" s="29">
        <v>15800</v>
      </c>
      <c r="I12" s="29"/>
      <c r="J12" s="29"/>
      <c r="K12" s="29"/>
      <c r="L12" s="29"/>
      <c r="M12" s="84">
        <f t="shared" si="5"/>
        <v>6.32</v>
      </c>
      <c r="N12" s="84">
        <f>G12/D12*100</f>
        <v>6.32</v>
      </c>
      <c r="O12" s="84"/>
    </row>
    <row r="13" spans="1:15" s="75" customFormat="1" ht="21.75" customHeight="1">
      <c r="A13" s="73">
        <v>3</v>
      </c>
      <c r="B13" s="76" t="s">
        <v>155</v>
      </c>
      <c r="C13" s="29">
        <f>SUM(D13:E13)</f>
        <v>15841</v>
      </c>
      <c r="D13" s="29">
        <v>15841</v>
      </c>
      <c r="E13" s="29"/>
      <c r="F13" s="29">
        <f t="shared" si="3"/>
        <v>0</v>
      </c>
      <c r="G13" s="29">
        <f t="shared" si="4"/>
        <v>0</v>
      </c>
      <c r="H13" s="29">
        <v>0</v>
      </c>
      <c r="I13" s="29"/>
      <c r="J13" s="29">
        <f>SUM(K13:L13)</f>
        <v>0</v>
      </c>
      <c r="K13" s="29"/>
      <c r="L13" s="29"/>
      <c r="M13" s="84">
        <f t="shared" si="5"/>
        <v>0</v>
      </c>
      <c r="N13" s="84">
        <f>G13/D13*100</f>
        <v>0</v>
      </c>
      <c r="O13" s="84"/>
    </row>
    <row r="14" spans="1:15" s="75" customFormat="1" ht="21.75" customHeight="1">
      <c r="A14" s="73">
        <v>4</v>
      </c>
      <c r="B14" s="76" t="s">
        <v>138</v>
      </c>
      <c r="C14" s="29">
        <f>SUM(D14:E14)</f>
        <v>40593</v>
      </c>
      <c r="D14" s="29">
        <v>40593</v>
      </c>
      <c r="E14" s="29"/>
      <c r="F14" s="29">
        <f t="shared" si="3"/>
        <v>0</v>
      </c>
      <c r="G14" s="29">
        <f t="shared" si="4"/>
        <v>0</v>
      </c>
      <c r="H14" s="29">
        <v>0</v>
      </c>
      <c r="I14" s="29"/>
      <c r="J14" s="29">
        <f>SUM(K14:L14)</f>
        <v>0</v>
      </c>
      <c r="K14" s="29"/>
      <c r="L14" s="29"/>
      <c r="M14" s="84">
        <f t="shared" si="5"/>
        <v>0</v>
      </c>
      <c r="N14" s="84">
        <f>G14/D14*100</f>
        <v>0</v>
      </c>
      <c r="O14" s="84"/>
    </row>
    <row r="15" spans="1:15" s="75" customFormat="1" ht="21.75" customHeight="1">
      <c r="A15" s="73">
        <v>5</v>
      </c>
      <c r="B15" s="76" t="s">
        <v>254</v>
      </c>
      <c r="C15" s="29">
        <f>SUM(D15:E15)</f>
        <v>600000</v>
      </c>
      <c r="D15" s="29">
        <v>600000</v>
      </c>
      <c r="E15" s="29"/>
      <c r="F15" s="29">
        <f>G15+J15</f>
        <v>600000</v>
      </c>
      <c r="G15" s="29">
        <f>SUM(H15:I15)</f>
        <v>600000</v>
      </c>
      <c r="H15" s="29">
        <v>600000</v>
      </c>
      <c r="I15" s="29"/>
      <c r="J15" s="29"/>
      <c r="K15" s="29"/>
      <c r="L15" s="29"/>
      <c r="M15" s="84">
        <f t="shared" si="5"/>
        <v>100</v>
      </c>
      <c r="N15" s="84">
        <f>G15/D15*100</f>
        <v>100</v>
      </c>
      <c r="O15" s="84"/>
    </row>
    <row r="16" spans="1:15" s="38" customFormat="1" ht="24.75" customHeight="1">
      <c r="A16" s="35" t="s">
        <v>2</v>
      </c>
      <c r="B16" s="54" t="s">
        <v>128</v>
      </c>
      <c r="C16" s="36">
        <f aca="true" t="shared" si="6" ref="C16:L16">SUM(C17:C23)</f>
        <v>1050000</v>
      </c>
      <c r="D16" s="36">
        <f t="shared" si="6"/>
        <v>0</v>
      </c>
      <c r="E16" s="36">
        <f t="shared" si="6"/>
        <v>1050000</v>
      </c>
      <c r="F16" s="36">
        <f t="shared" si="6"/>
        <v>970000</v>
      </c>
      <c r="G16" s="36">
        <f t="shared" si="6"/>
        <v>0</v>
      </c>
      <c r="H16" s="36">
        <f t="shared" si="6"/>
        <v>0</v>
      </c>
      <c r="I16" s="36">
        <f t="shared" si="6"/>
        <v>0</v>
      </c>
      <c r="J16" s="36">
        <f t="shared" si="6"/>
        <v>970000</v>
      </c>
      <c r="K16" s="36">
        <f t="shared" si="6"/>
        <v>970000</v>
      </c>
      <c r="L16" s="36">
        <f t="shared" si="6"/>
        <v>0</v>
      </c>
      <c r="M16" s="83">
        <f t="shared" si="5"/>
        <v>92.38095238095238</v>
      </c>
      <c r="N16" s="83"/>
      <c r="O16" s="83">
        <f t="shared" si="2"/>
        <v>92.38095238095238</v>
      </c>
    </row>
    <row r="17" spans="1:15" s="75" customFormat="1" ht="21.75" customHeight="1">
      <c r="A17" s="73">
        <v>1</v>
      </c>
      <c r="B17" s="79" t="s">
        <v>255</v>
      </c>
      <c r="C17" s="29">
        <f aca="true" t="shared" si="7" ref="C17:C23">SUM(D17:E17)</f>
        <v>80000</v>
      </c>
      <c r="D17" s="29"/>
      <c r="E17" s="29">
        <v>80000</v>
      </c>
      <c r="F17" s="29">
        <f t="shared" si="3"/>
        <v>80000</v>
      </c>
      <c r="G17" s="29">
        <f t="shared" si="4"/>
        <v>0</v>
      </c>
      <c r="H17" s="29"/>
      <c r="I17" s="29"/>
      <c r="J17" s="29">
        <f aca="true" t="shared" si="8" ref="J17:J22">SUM(K17:L17)</f>
        <v>80000</v>
      </c>
      <c r="K17" s="29">
        <v>80000</v>
      </c>
      <c r="L17" s="29"/>
      <c r="M17" s="84">
        <f t="shared" si="5"/>
        <v>100</v>
      </c>
      <c r="N17" s="84"/>
      <c r="O17" s="84">
        <f t="shared" si="2"/>
        <v>100</v>
      </c>
    </row>
    <row r="18" spans="1:15" s="75" customFormat="1" ht="21.75" customHeight="1">
      <c r="A18" s="73">
        <v>2</v>
      </c>
      <c r="B18" s="79" t="s">
        <v>256</v>
      </c>
      <c r="C18" s="29">
        <f t="shared" si="7"/>
        <v>310000</v>
      </c>
      <c r="D18" s="29"/>
      <c r="E18" s="29">
        <f>60000+100000+150000</f>
        <v>310000</v>
      </c>
      <c r="F18" s="29">
        <f t="shared" si="3"/>
        <v>310000</v>
      </c>
      <c r="G18" s="29">
        <f t="shared" si="4"/>
        <v>0</v>
      </c>
      <c r="H18" s="29"/>
      <c r="I18" s="29"/>
      <c r="J18" s="29">
        <f t="shared" si="8"/>
        <v>310000</v>
      </c>
      <c r="K18" s="29">
        <f>160000+150000</f>
        <v>310000</v>
      </c>
      <c r="L18" s="29"/>
      <c r="M18" s="84">
        <f t="shared" si="5"/>
        <v>100</v>
      </c>
      <c r="N18" s="84"/>
      <c r="O18" s="84">
        <f t="shared" si="2"/>
        <v>100</v>
      </c>
    </row>
    <row r="19" spans="1:15" s="75" customFormat="1" ht="21.75" customHeight="1">
      <c r="A19" s="73">
        <v>3</v>
      </c>
      <c r="B19" s="79" t="s">
        <v>278</v>
      </c>
      <c r="C19" s="29">
        <f>SUM(D19:E19)</f>
        <v>150000</v>
      </c>
      <c r="D19" s="29"/>
      <c r="E19" s="29">
        <v>150000</v>
      </c>
      <c r="F19" s="29">
        <f>G19+J19</f>
        <v>150000</v>
      </c>
      <c r="G19" s="29">
        <f>SUM(H19:I19)</f>
        <v>0</v>
      </c>
      <c r="H19" s="29"/>
      <c r="I19" s="29"/>
      <c r="J19" s="29">
        <f>SUM(K19:L19)</f>
        <v>150000</v>
      </c>
      <c r="K19" s="29">
        <v>150000</v>
      </c>
      <c r="L19" s="29"/>
      <c r="M19" s="84">
        <f t="shared" si="5"/>
        <v>100</v>
      </c>
      <c r="N19" s="84"/>
      <c r="O19" s="84">
        <f>J19/E19*100</f>
        <v>100</v>
      </c>
    </row>
    <row r="20" spans="1:15" s="75" customFormat="1" ht="21.75" customHeight="1">
      <c r="A20" s="73">
        <v>4</v>
      </c>
      <c r="B20" s="79" t="s">
        <v>277</v>
      </c>
      <c r="C20" s="29">
        <f t="shared" si="7"/>
        <v>150000</v>
      </c>
      <c r="D20" s="29"/>
      <c r="E20" s="29">
        <v>150000</v>
      </c>
      <c r="F20" s="29">
        <f t="shared" si="3"/>
        <v>150000</v>
      </c>
      <c r="G20" s="29">
        <f t="shared" si="4"/>
        <v>0</v>
      </c>
      <c r="H20" s="29"/>
      <c r="I20" s="29"/>
      <c r="J20" s="29">
        <f t="shared" si="8"/>
        <v>150000</v>
      </c>
      <c r="K20" s="29">
        <v>150000</v>
      </c>
      <c r="L20" s="29"/>
      <c r="M20" s="84">
        <f t="shared" si="5"/>
        <v>100</v>
      </c>
      <c r="N20" s="84"/>
      <c r="O20" s="84">
        <f t="shared" si="2"/>
        <v>100</v>
      </c>
    </row>
    <row r="21" spans="1:15" s="75" customFormat="1" ht="21.75" customHeight="1">
      <c r="A21" s="73">
        <v>5</v>
      </c>
      <c r="B21" s="79" t="s">
        <v>257</v>
      </c>
      <c r="C21" s="29">
        <f t="shared" si="7"/>
        <v>10000</v>
      </c>
      <c r="D21" s="29"/>
      <c r="E21" s="29">
        <v>10000</v>
      </c>
      <c r="F21" s="29">
        <f t="shared" si="3"/>
        <v>10000</v>
      </c>
      <c r="G21" s="29">
        <f t="shared" si="4"/>
        <v>0</v>
      </c>
      <c r="H21" s="29"/>
      <c r="I21" s="29"/>
      <c r="J21" s="29">
        <f t="shared" si="8"/>
        <v>10000</v>
      </c>
      <c r="K21" s="29">
        <v>10000</v>
      </c>
      <c r="L21" s="29"/>
      <c r="M21" s="84">
        <f t="shared" si="5"/>
        <v>100</v>
      </c>
      <c r="N21" s="84"/>
      <c r="O21" s="84">
        <f t="shared" si="2"/>
        <v>100</v>
      </c>
    </row>
    <row r="22" spans="1:15" s="75" customFormat="1" ht="21.75" customHeight="1">
      <c r="A22" s="73">
        <v>6</v>
      </c>
      <c r="B22" s="79" t="s">
        <v>258</v>
      </c>
      <c r="C22" s="29">
        <f t="shared" si="7"/>
        <v>270000</v>
      </c>
      <c r="D22" s="29"/>
      <c r="E22" s="29">
        <f>120000+150000</f>
        <v>270000</v>
      </c>
      <c r="F22" s="29">
        <f t="shared" si="3"/>
        <v>270000</v>
      </c>
      <c r="G22" s="29">
        <f t="shared" si="4"/>
        <v>0</v>
      </c>
      <c r="H22" s="29"/>
      <c r="I22" s="29"/>
      <c r="J22" s="29">
        <f t="shared" si="8"/>
        <v>270000</v>
      </c>
      <c r="K22" s="29">
        <v>270000</v>
      </c>
      <c r="L22" s="29"/>
      <c r="M22" s="84">
        <f t="shared" si="5"/>
        <v>100</v>
      </c>
      <c r="N22" s="84"/>
      <c r="O22" s="84">
        <f t="shared" si="2"/>
        <v>100</v>
      </c>
    </row>
    <row r="23" spans="1:15" s="75" customFormat="1" ht="21.75" customHeight="1">
      <c r="A23" s="73">
        <v>7</v>
      </c>
      <c r="B23" s="79" t="s">
        <v>259</v>
      </c>
      <c r="C23" s="29">
        <f t="shared" si="7"/>
        <v>80000</v>
      </c>
      <c r="D23" s="29"/>
      <c r="E23" s="29">
        <v>80000</v>
      </c>
      <c r="F23" s="29">
        <f t="shared" si="3"/>
        <v>0</v>
      </c>
      <c r="G23" s="29">
        <f t="shared" si="4"/>
        <v>0</v>
      </c>
      <c r="H23" s="29"/>
      <c r="I23" s="29"/>
      <c r="J23" s="29">
        <f>SUM(K23:L23)</f>
        <v>0</v>
      </c>
      <c r="K23" s="29">
        <v>0</v>
      </c>
      <c r="L23" s="29"/>
      <c r="M23" s="84">
        <f t="shared" si="5"/>
        <v>0</v>
      </c>
      <c r="N23" s="84"/>
      <c r="O23" s="84">
        <f t="shared" si="2"/>
        <v>0</v>
      </c>
    </row>
  </sheetData>
  <sheetProtection/>
  <mergeCells count="21">
    <mergeCell ref="C5:E5"/>
    <mergeCell ref="C6:C8"/>
    <mergeCell ref="G7:I7"/>
    <mergeCell ref="N1:O1"/>
    <mergeCell ref="A2:O2"/>
    <mergeCell ref="A3:O3"/>
    <mergeCell ref="L4:O4"/>
    <mergeCell ref="J7:L7"/>
    <mergeCell ref="M6:M8"/>
    <mergeCell ref="N7:N8"/>
    <mergeCell ref="O7:O8"/>
    <mergeCell ref="F6:F8"/>
    <mergeCell ref="M5:O5"/>
    <mergeCell ref="D7:D8"/>
    <mergeCell ref="E7:E8"/>
    <mergeCell ref="N6:O6"/>
    <mergeCell ref="A5:A8"/>
    <mergeCell ref="B5:B8"/>
    <mergeCell ref="D6:E6"/>
    <mergeCell ref="F5:L5"/>
    <mergeCell ref="G6:L6"/>
  </mergeCells>
  <printOptions/>
  <pageMargins left="0.4330708661417323" right="0.1968503937007874" top="0.5118110236220472" bottom="0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Tiendung Computer</cp:lastModifiedBy>
  <cp:lastPrinted>2022-08-11T03:55:34Z</cp:lastPrinted>
  <dcterms:created xsi:type="dcterms:W3CDTF">2007-08-15T06:49:16Z</dcterms:created>
  <dcterms:modified xsi:type="dcterms:W3CDTF">2022-10-06T07:13:03Z</dcterms:modified>
  <cp:category/>
  <cp:version/>
  <cp:contentType/>
  <cp:contentStatus/>
</cp:coreProperties>
</file>